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stment Shared\پورتفوی ماهانه\اکسل\1402\"/>
    </mc:Choice>
  </mc:AlternateContent>
  <bookViews>
    <workbookView xWindow="0" yWindow="0" windowWidth="28800" windowHeight="12300"/>
  </bookViews>
  <sheets>
    <sheet name="0" sheetId="1" r:id="rId1"/>
    <sheet name=" سهام" sheetId="2" r:id="rId2"/>
    <sheet name="اوراق بهادار" sheetId="13" r:id="rId3"/>
    <sheet name="سپرده" sheetId="3" r:id="rId4"/>
    <sheet name="درآمدها" sheetId="4" r:id="rId5"/>
    <sheet name="درآمد سرمایه گذاری در سهام " sheetId="5" r:id="rId6"/>
    <sheet name="سرمایه گذاری در اوراق بهادار" sheetId="12" r:id="rId7"/>
    <sheet name="درآمد ناشی از تغییر قیمت اوراق " sheetId="7" r:id="rId8"/>
    <sheet name="درآمد ناشی ازفروش" sheetId="8" r:id="rId9"/>
    <sheet name="درآمد سپرده بانکی" sheetId="9" r:id="rId10"/>
    <sheet name="سود اوراق بهادار و سپرده بانکی" sheetId="10" r:id="rId11"/>
    <sheet name="سایر درآمدها" sheetId="15" r:id="rId12"/>
  </sheets>
  <definedNames>
    <definedName name="_xlnm.Print_Area" localSheetId="1">' سهام'!$A$1:$Y$23</definedName>
    <definedName name="_xlnm.Print_Area" localSheetId="9">'درآمد سپرده بانکی'!$A$1:$K$15</definedName>
    <definedName name="_xlnm.Print_Area" localSheetId="5">'درآمد سرمایه گذاری در سهام '!$A$1:$U$22</definedName>
    <definedName name="_xlnm.Print_Area" localSheetId="7">'درآمد ناشی از تغییر قیمت اوراق '!$A$1:$Q$34</definedName>
    <definedName name="_xlnm.Print_Area" localSheetId="8">'درآمد ناشی ازفروش'!$A$1:$P$31</definedName>
    <definedName name="_xlnm.Print_Area" localSheetId="4">درآمدها!$A$1:$J$11</definedName>
    <definedName name="_xlnm.Print_Area" localSheetId="3">سپرده!$A$1:$U$20</definedName>
    <definedName name="_xlnm.Print_Area" localSheetId="10">'سود اوراق بهادار و سپرده بانکی'!$A$1:$R$13</definedName>
    <definedName name="Z_0FB03AA2_1E4C_49B5_A51E_AA30FB031C6E_.wvu.Cols" localSheetId="5" hidden="1">'درآمد سرمایه گذاری در سهام '!$V:$V</definedName>
    <definedName name="Z_0FB03AA2_1E4C_49B5_A51E_AA30FB031C6E_.wvu.PrintArea" localSheetId="1" hidden="1">' سهام'!$A$1:$Y$23</definedName>
    <definedName name="Z_0FB03AA2_1E4C_49B5_A51E_AA30FB031C6E_.wvu.PrintArea" localSheetId="9" hidden="1">'درآمد سپرده بانکی'!$A$1:$K$15</definedName>
    <definedName name="Z_0FB03AA2_1E4C_49B5_A51E_AA30FB031C6E_.wvu.PrintArea" localSheetId="5" hidden="1">'درآمد سرمایه گذاری در سهام '!$A$1:$U$22</definedName>
    <definedName name="Z_0FB03AA2_1E4C_49B5_A51E_AA30FB031C6E_.wvu.PrintArea" localSheetId="7" hidden="1">'درآمد ناشی از تغییر قیمت اوراق '!$A$1:$Q$34</definedName>
    <definedName name="Z_0FB03AA2_1E4C_49B5_A51E_AA30FB031C6E_.wvu.PrintArea" localSheetId="8" hidden="1">'درآمد ناشی ازفروش'!$A$1:$P$31</definedName>
    <definedName name="Z_0FB03AA2_1E4C_49B5_A51E_AA30FB031C6E_.wvu.PrintArea" localSheetId="4" hidden="1">درآمدها!$A$1:$J$11</definedName>
    <definedName name="Z_0FB03AA2_1E4C_49B5_A51E_AA30FB031C6E_.wvu.PrintArea" localSheetId="3" hidden="1">سپرده!$A$1:$U$20</definedName>
    <definedName name="Z_0FB03AA2_1E4C_49B5_A51E_AA30FB031C6E_.wvu.PrintArea" localSheetId="10" hidden="1">'سود اوراق بهادار و سپرده بانکی'!$A$1:$R$13</definedName>
    <definedName name="Z_9B1DBD13_10C2_4EFD_B3C9_81858DAEB6DD_.wvu.Cols" localSheetId="5" hidden="1">'درآمد سرمایه گذاری در سهام '!$V:$V</definedName>
    <definedName name="Z_9B1DBD13_10C2_4EFD_B3C9_81858DAEB6DD_.wvu.PrintArea" localSheetId="1" hidden="1">' سهام'!$A$1:$Y$23</definedName>
    <definedName name="Z_9B1DBD13_10C2_4EFD_B3C9_81858DAEB6DD_.wvu.PrintArea" localSheetId="9" hidden="1">'درآمد سپرده بانکی'!$A$1:$K$15</definedName>
    <definedName name="Z_9B1DBD13_10C2_4EFD_B3C9_81858DAEB6DD_.wvu.PrintArea" localSheetId="5" hidden="1">'درآمد سرمایه گذاری در سهام '!$A$1:$U$22</definedName>
    <definedName name="Z_9B1DBD13_10C2_4EFD_B3C9_81858DAEB6DD_.wvu.PrintArea" localSheetId="7" hidden="1">'درآمد ناشی از تغییر قیمت اوراق '!$A$1:$Q$34</definedName>
    <definedName name="Z_9B1DBD13_10C2_4EFD_B3C9_81858DAEB6DD_.wvu.PrintArea" localSheetId="8" hidden="1">'درآمد ناشی ازفروش'!$A$1:$P$31</definedName>
    <definedName name="Z_9B1DBD13_10C2_4EFD_B3C9_81858DAEB6DD_.wvu.PrintArea" localSheetId="4" hidden="1">درآمدها!$A$1:$J$11</definedName>
    <definedName name="Z_9B1DBD13_10C2_4EFD_B3C9_81858DAEB6DD_.wvu.PrintArea" localSheetId="3" hidden="1">سپرده!$A$1:$U$20</definedName>
    <definedName name="Z_9B1DBD13_10C2_4EFD_B3C9_81858DAEB6DD_.wvu.PrintArea" localSheetId="10" hidden="1">'سود اوراق بهادار و سپرده بانکی'!$A$1:$R$13</definedName>
  </definedNames>
  <calcPr calcId="162913"/>
  <customWorkbookViews>
    <customWorkbookView name="Yari-AIO - Personal View" guid="{9B1DBD13-10C2-4EFD-B3C9-81858DAEB6DD}" mergeInterval="0" personalView="1" maximized="1" xWindow="-8" yWindow="-8" windowWidth="1936" windowHeight="1056" activeSheetId="2"/>
    <customWorkbookView name="Nastaran Zarei - Personal View" guid="{0FB03AA2-1E4C-49B5-A51E-AA30FB031C6E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6" i="13" l="1"/>
  <c r="AC16" i="13"/>
  <c r="S16" i="13"/>
  <c r="U16" i="13"/>
  <c r="E22" i="5"/>
  <c r="G22" i="5"/>
  <c r="I22" i="5"/>
  <c r="S22" i="5"/>
  <c r="Q22" i="5"/>
  <c r="O22" i="5"/>
  <c r="R13" i="10"/>
  <c r="I15" i="9"/>
  <c r="E15" i="9"/>
  <c r="B24" i="8"/>
  <c r="D24" i="8"/>
  <c r="F24" i="8"/>
  <c r="G26" i="7"/>
  <c r="E26" i="7"/>
  <c r="J24" i="8"/>
  <c r="L24" i="8"/>
  <c r="N24" i="8"/>
  <c r="P24" i="8"/>
  <c r="P22" i="8"/>
  <c r="P23" i="8"/>
  <c r="P21" i="8"/>
  <c r="P18" i="8"/>
  <c r="L11" i="8"/>
  <c r="L9" i="8"/>
  <c r="L8" i="8"/>
  <c r="L7" i="8"/>
  <c r="D19" i="8"/>
  <c r="D23" i="8"/>
  <c r="D22" i="8"/>
  <c r="H22" i="8"/>
  <c r="H23" i="8"/>
  <c r="H21" i="8"/>
  <c r="H20" i="8"/>
  <c r="D21" i="8"/>
  <c r="D17" i="8"/>
  <c r="D16" i="8"/>
  <c r="D15" i="8"/>
  <c r="D14" i="8"/>
  <c r="D13" i="8"/>
  <c r="D12" i="8"/>
  <c r="D11" i="8"/>
  <c r="D10" i="8"/>
  <c r="D9" i="8"/>
  <c r="D8" i="8"/>
  <c r="D7" i="8"/>
  <c r="M25" i="7" l="1"/>
  <c r="M24" i="7"/>
  <c r="M23" i="7"/>
  <c r="M22" i="7"/>
  <c r="M21" i="7"/>
  <c r="M20" i="7"/>
  <c r="M19" i="7"/>
  <c r="M18" i="7"/>
  <c r="M16" i="7"/>
  <c r="Q13" i="7"/>
  <c r="Q12" i="7"/>
  <c r="M13" i="7"/>
  <c r="M12" i="7"/>
  <c r="M11" i="7"/>
  <c r="M10" i="7"/>
  <c r="M9" i="7"/>
  <c r="M8" i="7"/>
  <c r="M7" i="7"/>
  <c r="K8" i="7"/>
  <c r="K7" i="7"/>
  <c r="K13" i="7"/>
  <c r="E25" i="7"/>
  <c r="E24" i="7"/>
  <c r="E23" i="7"/>
  <c r="E19" i="7"/>
  <c r="E20" i="7"/>
  <c r="E21" i="7"/>
  <c r="E22" i="7"/>
  <c r="I16" i="5"/>
  <c r="E16" i="5"/>
  <c r="I13" i="7"/>
  <c r="I12" i="7"/>
  <c r="E13" i="7"/>
  <c r="E18" i="7"/>
  <c r="E16" i="7"/>
  <c r="E12" i="7"/>
  <c r="E11" i="7"/>
  <c r="E10" i="7"/>
  <c r="E9" i="7"/>
  <c r="E8" i="7"/>
  <c r="E7" i="7"/>
  <c r="U10" i="3"/>
  <c r="U11" i="3"/>
  <c r="U12" i="3"/>
  <c r="U13" i="3"/>
  <c r="U14" i="3"/>
  <c r="U15" i="3"/>
  <c r="U9" i="3"/>
  <c r="S15" i="3" l="1"/>
  <c r="S9" i="3"/>
  <c r="AM9" i="13"/>
  <c r="AM10" i="13"/>
  <c r="AM11" i="13"/>
  <c r="AM12" i="13"/>
  <c r="AM13" i="13"/>
  <c r="AM14" i="13"/>
  <c r="AM15" i="13"/>
  <c r="AM8" i="13"/>
  <c r="AE11" i="13"/>
  <c r="AE13" i="13"/>
  <c r="Y11" i="2"/>
  <c r="Y12" i="2"/>
  <c r="Y13" i="2"/>
  <c r="Y14" i="2"/>
  <c r="Y15" i="2"/>
  <c r="Y16" i="2"/>
  <c r="Y17" i="2"/>
  <c r="Y18" i="2"/>
  <c r="Y19" i="2"/>
  <c r="Y20" i="2"/>
  <c r="Y21" i="2"/>
  <c r="Y10" i="2"/>
  <c r="W16" i="2"/>
  <c r="Q16" i="2"/>
  <c r="Q18" i="2"/>
  <c r="Q10" i="2"/>
  <c r="Q21" i="2" l="1"/>
  <c r="D9" i="15"/>
  <c r="B9" i="15"/>
  <c r="F9" i="4" s="1"/>
  <c r="A3" i="15"/>
  <c r="Q11" i="7"/>
  <c r="K9" i="7"/>
  <c r="Q8" i="7"/>
  <c r="H19" i="8"/>
  <c r="H24" i="8" s="1"/>
  <c r="H18" i="8"/>
  <c r="H16" i="8"/>
  <c r="G19" i="5" s="1"/>
  <c r="H15" i="8"/>
  <c r="G21" i="5" s="1"/>
  <c r="H14" i="8"/>
  <c r="G20" i="5" s="1"/>
  <c r="H13" i="8"/>
  <c r="G17" i="5" s="1"/>
  <c r="H12" i="8"/>
  <c r="G15" i="5" s="1"/>
  <c r="I15" i="5" s="1"/>
  <c r="G11" i="8"/>
  <c r="H11" i="8"/>
  <c r="G14" i="5" s="1"/>
  <c r="H10" i="8"/>
  <c r="G13" i="5" s="1"/>
  <c r="H9" i="8"/>
  <c r="G12" i="5" s="1"/>
  <c r="H8" i="8"/>
  <c r="G11" i="5" s="1"/>
  <c r="P16" i="3"/>
  <c r="M16" i="3"/>
  <c r="K16" i="3"/>
  <c r="I8" i="12" l="1"/>
  <c r="H7" i="8"/>
  <c r="G10" i="5" s="1"/>
  <c r="H17" i="8"/>
  <c r="G18" i="5" s="1"/>
  <c r="U22" i="2"/>
  <c r="O22" i="2"/>
  <c r="M22" i="2"/>
  <c r="K22" i="2"/>
  <c r="I22" i="2"/>
  <c r="G22" i="2"/>
  <c r="E22" i="2"/>
  <c r="C22" i="2"/>
  <c r="S14" i="12" l="1"/>
  <c r="P20" i="8" l="1"/>
  <c r="P19" i="8"/>
  <c r="P17" i="8"/>
  <c r="P15" i="8"/>
  <c r="AA16" i="13" l="1"/>
  <c r="Y16" i="13"/>
  <c r="W16" i="13"/>
  <c r="Q16" i="13"/>
  <c r="AE12" i="13"/>
  <c r="AE8" i="13"/>
  <c r="AK16" i="13" l="1"/>
  <c r="AM16" i="13"/>
  <c r="AE16" i="13"/>
  <c r="W18" i="2"/>
  <c r="O14" i="12" l="1"/>
  <c r="K14" i="12" l="1"/>
  <c r="P13" i="10"/>
  <c r="J13" i="10"/>
  <c r="H12" i="10"/>
  <c r="L12" i="10" s="1"/>
  <c r="H11" i="10"/>
  <c r="L11" i="10" s="1"/>
  <c r="H10" i="10"/>
  <c r="L10" i="10" s="1"/>
  <c r="H9" i="10"/>
  <c r="L9" i="10" s="1"/>
  <c r="H8" i="10"/>
  <c r="L8" i="10" s="1"/>
  <c r="H7" i="10"/>
  <c r="L7" i="10" s="1"/>
  <c r="A3" i="10"/>
  <c r="N12" i="10"/>
  <c r="R12" i="10" s="1"/>
  <c r="N11" i="10"/>
  <c r="R11" i="10" s="1"/>
  <c r="N10" i="10"/>
  <c r="R10" i="10" s="1"/>
  <c r="N9" i="10"/>
  <c r="R9" i="10" s="1"/>
  <c r="H11" i="9"/>
  <c r="N8" i="10"/>
  <c r="R8" i="10" s="1"/>
  <c r="N7" i="10"/>
  <c r="A3" i="9"/>
  <c r="P14" i="8"/>
  <c r="Q20" i="5" s="1"/>
  <c r="P13" i="8"/>
  <c r="Q19" i="5" s="1"/>
  <c r="P10" i="8"/>
  <c r="Q13" i="5" s="1"/>
  <c r="P9" i="8"/>
  <c r="A3" i="8"/>
  <c r="C26" i="7"/>
  <c r="K25" i="7"/>
  <c r="I25" i="7"/>
  <c r="G15" i="12" s="1"/>
  <c r="K24" i="7"/>
  <c r="K23" i="7"/>
  <c r="I23" i="7"/>
  <c r="G12" i="12" s="1"/>
  <c r="K22" i="7"/>
  <c r="K21" i="7"/>
  <c r="I21" i="7"/>
  <c r="G10" i="12" s="1"/>
  <c r="K20" i="7"/>
  <c r="Q20" i="7"/>
  <c r="O9" i="12" s="1"/>
  <c r="S9" i="12" s="1"/>
  <c r="K19" i="7"/>
  <c r="I19" i="7"/>
  <c r="G8" i="12" s="1"/>
  <c r="K8" i="12" s="1"/>
  <c r="Q19" i="7"/>
  <c r="O8" i="12" s="1"/>
  <c r="S8" i="12" s="1"/>
  <c r="Q18" i="7"/>
  <c r="O18" i="5" s="1"/>
  <c r="S18" i="5" s="1"/>
  <c r="U18" i="5" s="1"/>
  <c r="K18" i="7"/>
  <c r="I18" i="7"/>
  <c r="K17" i="7"/>
  <c r="I17" i="7"/>
  <c r="E19" i="5" s="1"/>
  <c r="Q17" i="7"/>
  <c r="O19" i="5" s="1"/>
  <c r="Q16" i="7"/>
  <c r="O21" i="5" s="1"/>
  <c r="K16" i="7"/>
  <c r="I16" i="7"/>
  <c r="E21" i="5" s="1"/>
  <c r="I15" i="7"/>
  <c r="E20" i="5" s="1"/>
  <c r="Q15" i="7"/>
  <c r="O20" i="5" s="1"/>
  <c r="Q14" i="7"/>
  <c r="O17" i="5" s="1"/>
  <c r="S17" i="5" s="1"/>
  <c r="U17" i="5" s="1"/>
  <c r="K14" i="7"/>
  <c r="I14" i="7"/>
  <c r="K12" i="7"/>
  <c r="E15" i="5"/>
  <c r="O15" i="5"/>
  <c r="K11" i="7"/>
  <c r="H11" i="7"/>
  <c r="O14" i="5"/>
  <c r="Q10" i="7"/>
  <c r="O13" i="5" s="1"/>
  <c r="K10" i="7"/>
  <c r="I10" i="7"/>
  <c r="E13" i="5" s="1"/>
  <c r="Q9" i="7"/>
  <c r="O12" i="5" s="1"/>
  <c r="O11" i="5"/>
  <c r="I8" i="7"/>
  <c r="E11" i="5" s="1"/>
  <c r="A3" i="7"/>
  <c r="Q16" i="12"/>
  <c r="M16" i="12"/>
  <c r="I16" i="12"/>
  <c r="H16" i="12"/>
  <c r="E16" i="12"/>
  <c r="A3" i="12"/>
  <c r="C22" i="5"/>
  <c r="H11" i="5"/>
  <c r="S14" i="3"/>
  <c r="S13" i="3"/>
  <c r="S12" i="3"/>
  <c r="S11" i="3"/>
  <c r="H11" i="3"/>
  <c r="S10" i="3"/>
  <c r="A3" i="3"/>
  <c r="B3" i="4" s="1"/>
  <c r="A3" i="5" s="1"/>
  <c r="A3" i="13"/>
  <c r="Q20" i="2"/>
  <c r="W20" i="2" s="1"/>
  <c r="Q19" i="2"/>
  <c r="W19" i="2" s="1"/>
  <c r="Q17" i="2"/>
  <c r="W17" i="2" s="1"/>
  <c r="Q15" i="2"/>
  <c r="W15" i="2" s="1"/>
  <c r="Q14" i="2"/>
  <c r="W14" i="2" s="1"/>
  <c r="Q13" i="2"/>
  <c r="W13" i="2" s="1"/>
  <c r="Q12" i="2"/>
  <c r="W12" i="2" s="1"/>
  <c r="Q11" i="2"/>
  <c r="W11" i="2" s="1"/>
  <c r="H11" i="2"/>
  <c r="W10" i="2"/>
  <c r="E18" i="5" l="1"/>
  <c r="I18" i="5" s="1"/>
  <c r="E17" i="5"/>
  <c r="I17" i="5" s="1"/>
  <c r="S16" i="3"/>
  <c r="W21" i="2"/>
  <c r="Q22" i="2"/>
  <c r="Q12" i="5"/>
  <c r="S12" i="5" s="1"/>
  <c r="U12" i="5" s="1"/>
  <c r="P16" i="8"/>
  <c r="Q21" i="5" s="1"/>
  <c r="S21" i="5" s="1"/>
  <c r="U21" i="5" s="1"/>
  <c r="P12" i="8"/>
  <c r="Q15" i="5" s="1"/>
  <c r="S15" i="5" s="1"/>
  <c r="U15" i="5" s="1"/>
  <c r="P11" i="8"/>
  <c r="Q14" i="5" s="1"/>
  <c r="S14" i="5" s="1"/>
  <c r="U14" i="5" s="1"/>
  <c r="P8" i="8"/>
  <c r="Q10" i="5" s="1"/>
  <c r="I19" i="5"/>
  <c r="I21" i="5"/>
  <c r="I20" i="5"/>
  <c r="S20" i="5"/>
  <c r="U20" i="5" s="1"/>
  <c r="S19" i="5"/>
  <c r="U19" i="5" s="1"/>
  <c r="I13" i="5"/>
  <c r="S13" i="5"/>
  <c r="U13" i="5" s="1"/>
  <c r="P7" i="8"/>
  <c r="I11" i="5"/>
  <c r="H13" i="10"/>
  <c r="L13" i="10"/>
  <c r="R7" i="10"/>
  <c r="N13" i="10"/>
  <c r="Q25" i="7"/>
  <c r="O15" i="12" s="1"/>
  <c r="S15" i="12" s="1"/>
  <c r="Q24" i="7"/>
  <c r="O13" i="12" s="1"/>
  <c r="S13" i="12" s="1"/>
  <c r="Q23" i="7"/>
  <c r="O12" i="12" s="1"/>
  <c r="S12" i="12" s="1"/>
  <c r="O26" i="7"/>
  <c r="Q22" i="7"/>
  <c r="O11" i="12" s="1"/>
  <c r="S11" i="12" s="1"/>
  <c r="Q21" i="7"/>
  <c r="O10" i="12" s="1"/>
  <c r="S10" i="12" s="1"/>
  <c r="M26" i="7"/>
  <c r="Q7" i="7"/>
  <c r="I7" i="7"/>
  <c r="E10" i="5" s="1"/>
  <c r="I9" i="7"/>
  <c r="I11" i="7"/>
  <c r="I20" i="7"/>
  <c r="G9" i="12" s="1"/>
  <c r="I22" i="7"/>
  <c r="G11" i="12" s="1"/>
  <c r="I24" i="7"/>
  <c r="G13" i="12" s="1"/>
  <c r="K10" i="12"/>
  <c r="K12" i="12"/>
  <c r="K15" i="12"/>
  <c r="K26" i="7"/>
  <c r="U16" i="3"/>
  <c r="E14" i="5" l="1"/>
  <c r="I14" i="5" s="1"/>
  <c r="E12" i="5"/>
  <c r="I12" i="5" s="1"/>
  <c r="I26" i="7"/>
  <c r="Y22" i="2"/>
  <c r="W22" i="2"/>
  <c r="Q11" i="5"/>
  <c r="G16" i="12"/>
  <c r="K11" i="12"/>
  <c r="K9" i="12"/>
  <c r="Q26" i="7"/>
  <c r="O10" i="5"/>
  <c r="K13" i="12"/>
  <c r="M22" i="5"/>
  <c r="S11" i="5" l="1"/>
  <c r="U11" i="5" s="1"/>
  <c r="S10" i="5"/>
  <c r="U10" i="5" s="1"/>
  <c r="O16" i="12"/>
  <c r="S16" i="12"/>
  <c r="I10" i="5"/>
  <c r="K16" i="12"/>
  <c r="F7" i="4" s="1"/>
  <c r="U22" i="5" l="1"/>
  <c r="F6" i="4"/>
  <c r="F10" i="4" l="1"/>
  <c r="H6" i="4" l="1"/>
  <c r="K13" i="5"/>
  <c r="K18" i="5"/>
  <c r="K11" i="5"/>
  <c r="K12" i="5"/>
  <c r="K14" i="5"/>
  <c r="K19" i="5"/>
  <c r="K10" i="5"/>
  <c r="K15" i="5"/>
  <c r="K20" i="5"/>
  <c r="K17" i="5"/>
  <c r="K21" i="5"/>
  <c r="J6" i="4"/>
  <c r="J10" i="4" s="1"/>
  <c r="H9" i="4"/>
  <c r="H7" i="4"/>
  <c r="K22" i="5" l="1"/>
  <c r="H10" i="4"/>
</calcChain>
</file>

<file path=xl/sharedStrings.xml><?xml version="1.0" encoding="utf-8"?>
<sst xmlns="http://schemas.openxmlformats.org/spreadsheetml/2006/main" count="378" uniqueCount="174">
  <si>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</si>
  <si>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</si>
  <si>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</si>
  <si>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</si>
  <si>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</si>
  <si>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</si>
  <si>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</si>
  <si>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</si>
  <si>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</si>
  <si>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</si>
  <si>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</si>
  <si>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</si>
  <si>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</si>
  <si>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</si>
  <si>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</si>
  <si>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</si>
  <si>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نام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</si>
  <si>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</si>
  <si>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</si>
  <si>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</si>
  <si>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</si>
  <si>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</si>
  <si>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</si>
  <si>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</si>
  <si>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</si>
  <si>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</si>
  <si>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</si>
  <si>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</si>
  <si>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</si>
  <si>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قیمت بازار هر سهم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</si>
  <si>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</si>
  <si>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</si>
  <si>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</si>
  <si>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</si>
  <si>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</si>
  <si>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</si>
  <si>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</si>
  <si>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</si>
  <si>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</si>
  <si>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</si>
  <si>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</si>
  <si>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</si>
  <si>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درآمد حاصل از سرمایه گذاری در سهام و حق تقدم سهام</t>
  </si>
  <si>
    <t>درآمد حاصل از سرمایه گذاری در سپرده بانکی و گواهی سپرده</t>
  </si>
  <si>
    <t>مبلغ فروش</t>
  </si>
  <si>
    <t xml:space="preserve">صورت وضعیت پرتفوی </t>
  </si>
  <si>
    <t>1-2</t>
  </si>
  <si>
    <t>2-2</t>
  </si>
  <si>
    <t xml:space="preserve">صورت وضعیت درآمدها </t>
  </si>
  <si>
    <t xml:space="preserve">درآمد سود </t>
  </si>
  <si>
    <t>درصد از کل دارایی ها</t>
  </si>
  <si>
    <t>صندوق سرمایه گذاری اختصاصی بازارگردانی آرمان تدبیر نقش جهان</t>
  </si>
  <si>
    <t>فولاد افزا سپاهان</t>
  </si>
  <si>
    <t>مجتمع صنایع و معادن احیاءسپاهان</t>
  </si>
  <si>
    <t>-</t>
  </si>
  <si>
    <t>کوتاه مدت</t>
  </si>
  <si>
    <t>سود سپرده بانکی ملی0226985001005</t>
  </si>
  <si>
    <t xml:space="preserve">سود سپرده بانک ملی 0227016319007 </t>
  </si>
  <si>
    <t>ندارد</t>
  </si>
  <si>
    <t>مجتمع صنایع و معادن احیا سپاهان</t>
  </si>
  <si>
    <t>مجتمع صنایع و معادن احیاء سپاهان</t>
  </si>
  <si>
    <t>سود سپرده بانکی</t>
  </si>
  <si>
    <t>سپرده بانک ملی</t>
  </si>
  <si>
    <t>سپرده نزد بانک ملی</t>
  </si>
  <si>
    <t xml:space="preserve">سپرده  نزد بانک ملی </t>
  </si>
  <si>
    <t>‫صورت وضعیت پورتفوی ماهانه</t>
  </si>
  <si>
    <t>1400/01/15</t>
  </si>
  <si>
    <t>1400/01/26</t>
  </si>
  <si>
    <t>1-2-2- درآمد ناشی از تغییر قیمت اوراق بهادار</t>
  </si>
  <si>
    <t>1-2-3سود(زیان) حاصل از فروش اوراق بهادار</t>
  </si>
  <si>
    <t>2-2-1سود اوراق بهادار با درآمد ثابت و سپرده بانکی</t>
  </si>
  <si>
    <t>‫صندوق سرمایه گذاری اختصاصی بازارگردانی آرمان تدبیر نقش جهان</t>
  </si>
  <si>
    <t xml:space="preserve">معادن منگنز ایران </t>
  </si>
  <si>
    <t>1400/09/20</t>
  </si>
  <si>
    <t xml:space="preserve">صندوق اعتماد آفرین پارسیان </t>
  </si>
  <si>
    <t xml:space="preserve">سود سپرده بانک ملی 0227563029003 </t>
  </si>
  <si>
    <t>ارزش دفتری برابر است با میانگین موزون خالص ارزش فروش هر سهم/ورقه در ابتدای دوره با خرید طی دوره ضرب در تعداد در پایان دوره</t>
  </si>
  <si>
    <t>ذغال سنگ نگین طبس</t>
  </si>
  <si>
    <t>فرآوری ذغال سنگ پروده طبس</t>
  </si>
  <si>
    <t>ذغالسنگ نگین طبس</t>
  </si>
  <si>
    <t>فرآوری ذغالسنگ پروده طبس</t>
  </si>
  <si>
    <t>1400/11/18</t>
  </si>
  <si>
    <t>سود سپرده بانک ملی 0227855598000</t>
  </si>
  <si>
    <t>سود سپرده بانک ملی 0227775365002</t>
  </si>
  <si>
    <t>1400/12/14</t>
  </si>
  <si>
    <t xml:space="preserve">جمع </t>
  </si>
  <si>
    <t>صندوق سرمایه گذاری کارا</t>
  </si>
  <si>
    <t xml:space="preserve">صندوق سرمایه گذاری افرا  </t>
  </si>
  <si>
    <t>1401/06/28</t>
  </si>
  <si>
    <t>1401/06/20</t>
  </si>
  <si>
    <t xml:space="preserve">سود سپرده بانک ملی 0227878919008 </t>
  </si>
  <si>
    <t>1400/06/12</t>
  </si>
  <si>
    <t>1401/06/17</t>
  </si>
  <si>
    <t>1401/06/14</t>
  </si>
  <si>
    <t>1401/06/23</t>
  </si>
  <si>
    <t>تکادو</t>
  </si>
  <si>
    <t>1401/01/07</t>
  </si>
  <si>
    <t>صندوق س افرا نماد پایدار-ثابت</t>
  </si>
  <si>
    <t>صندوق س.اعتماد آفرین پارسیان</t>
  </si>
  <si>
    <t xml:space="preserve">صندوق س. ثبات ویستا </t>
  </si>
  <si>
    <t>صندوق س.اعتماد آفرین پارسیان-د</t>
  </si>
  <si>
    <t>صندوق س. ثبات ویستا -د</t>
  </si>
  <si>
    <t>صندوق سرمایه گذاری ثبات ویستا</t>
  </si>
  <si>
    <t>صندوق لبخند فارابی</t>
  </si>
  <si>
    <t>صندوق سرمایه گذاری لبخند فارابی</t>
  </si>
  <si>
    <t>مشخصات</t>
  </si>
  <si>
    <t>درآمد سود اوراق</t>
  </si>
  <si>
    <t xml:space="preserve">درآمد تغییر ارزش </t>
  </si>
  <si>
    <t xml:space="preserve">درآمد فروش </t>
  </si>
  <si>
    <t xml:space="preserve">درآمد سود اوراق </t>
  </si>
  <si>
    <t>3-1- سرمایه‌گذاری در  سپرده‌ بانکی</t>
  </si>
  <si>
    <t>نام اوراق</t>
  </si>
  <si>
    <t xml:space="preserve">دارای مجوز از سازمان بورس </t>
  </si>
  <si>
    <t xml:space="preserve">بورسی یا فرابورسی </t>
  </si>
  <si>
    <t xml:space="preserve">تاریخ انتشار </t>
  </si>
  <si>
    <t xml:space="preserve">نرخ سود </t>
  </si>
  <si>
    <t xml:space="preserve">نرخ موثر </t>
  </si>
  <si>
    <t xml:space="preserve">تعداد </t>
  </si>
  <si>
    <t xml:space="preserve">اطلاعات اوراق با درآمد ثابت </t>
  </si>
  <si>
    <t>تغییرات</t>
  </si>
  <si>
    <t xml:space="preserve">خرید طی دوره </t>
  </si>
  <si>
    <t xml:space="preserve">فروش طی دوره </t>
  </si>
  <si>
    <t xml:space="preserve">بهای تمام شده </t>
  </si>
  <si>
    <t xml:space="preserve">بله </t>
  </si>
  <si>
    <t>فرابورسی</t>
  </si>
  <si>
    <t>قیمت</t>
  </si>
  <si>
    <t>3-2-درآمد حاصل از سرمایه­گذاری در سپرده بانکی و گواهی سپرده:</t>
  </si>
  <si>
    <t>2-2- سرمایه‌گذاری اوراق بهادار</t>
  </si>
  <si>
    <t>3-2</t>
  </si>
  <si>
    <t xml:space="preserve">2-1- سرمایه‌گذاری در اوراق بهادار </t>
  </si>
  <si>
    <t xml:space="preserve">صورت وضعیت درآمد ها </t>
  </si>
  <si>
    <t xml:space="preserve">جاری نزد بانک ملی </t>
  </si>
  <si>
    <t>جاری</t>
  </si>
  <si>
    <t>1399/10/02</t>
  </si>
  <si>
    <t>درآمد حاصل از سرمایه گذاری در اوراق بهادار</t>
  </si>
  <si>
    <t>1403/06/26</t>
  </si>
  <si>
    <t>اسنادخزانه-م5بودجه00-030626</t>
  </si>
  <si>
    <t>1403/05/22</t>
  </si>
  <si>
    <t xml:space="preserve">صندوق س افرا نماد پارسیان </t>
  </si>
  <si>
    <t xml:space="preserve"> اسنادخزانه-م4بودجه00-030522</t>
  </si>
  <si>
    <t>اسنادخزانه-م3بودجه00-030418</t>
  </si>
  <si>
    <t>اسنادخزانه-م6بودجه00-030723</t>
  </si>
  <si>
    <t>اسنادخزانه-م2بودجه00-031024</t>
  </si>
  <si>
    <t>اسناد خزانه-م3بودجه01-040520</t>
  </si>
  <si>
    <t>اسناد خزانه-م1بودجه01-040326</t>
  </si>
  <si>
    <t>اسنادخزانه-م1بودجه00-030821</t>
  </si>
  <si>
    <t>1401/02/26</t>
  </si>
  <si>
    <t>1404/03/26</t>
  </si>
  <si>
    <t xml:space="preserve">اسناد خزانه-م3بودجه01-040520 </t>
  </si>
  <si>
    <t>1401/05/18</t>
  </si>
  <si>
    <t>1404/05/20</t>
  </si>
  <si>
    <t>1400/02/22</t>
  </si>
  <si>
    <t>1403/04/18</t>
  </si>
  <si>
    <t>1403/07/23</t>
  </si>
  <si>
    <t>1403/10/24</t>
  </si>
  <si>
    <t>1403/08/21</t>
  </si>
  <si>
    <t>اسنادخزانه-م4بودجه00-030522</t>
  </si>
  <si>
    <t xml:space="preserve">درصد به کل دارایی ها </t>
  </si>
  <si>
    <t>1402/02/31</t>
  </si>
  <si>
    <t xml:space="preserve">سایر درآمدها </t>
  </si>
  <si>
    <t>3-4 سایر درآمدها</t>
  </si>
  <si>
    <t>ریال</t>
  </si>
  <si>
    <t>برای ماه منتهی به 31 خرداد 1402</t>
  </si>
  <si>
    <t>حق تقدم تکادو</t>
  </si>
  <si>
    <t>1402/03/31</t>
  </si>
  <si>
    <t>1401/02/31</t>
  </si>
  <si>
    <t xml:space="preserve">طی خرداد ماه </t>
  </si>
  <si>
    <t>از ابتدای سال مالی تا پایان خرداد ماه</t>
  </si>
  <si>
    <t>تکادوح</t>
  </si>
  <si>
    <t>طی خرداد ماه</t>
  </si>
  <si>
    <t xml:space="preserve">از ابتدای سال مالی تا پایان خرداد ماه </t>
  </si>
  <si>
    <t>طی خرداد ماه 1402</t>
  </si>
  <si>
    <t>از ابتدای سال مالی تا پایان خرداد ماه 1402</t>
  </si>
  <si>
    <t>‫برای ماه منتهی به 31 خرداد ماه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</si>
</sst>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_-;[Red]\(#,##0\)"/>
    <numFmt numFmtId="165" formatCode="0.000"/>
    <numFmt numFmtId="166" formatCode="_(* #,##0_);_(* \(#,##0\);_(* &quot;-&quot;??_);_(@_)"/>
    <numFmt numFmtId="167" formatCode="0.000%"/>
  </numFmts>
  <fonts count="44" x14ac:knownFonts="1">
    <font>
      <sz val="11"/>
      <color theme="1"/>
      <name val="Calibri"/>
      <family val="2"/>
      <charset val="178"/>
      <scheme val="minor"/>
    </font>
    <font>
      <sz val="10"/>
      <color theme="1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Zar"/>
      <charset val="178"/>
    </font>
    <font>
      <sz val="13"/>
      <color theme="1"/>
      <name val="B Nazanin"/>
      <charset val="178"/>
    </font>
    <font>
      <b/>
      <sz val="13"/>
      <color theme="1"/>
      <name val="B Nazanin"/>
      <charset val="178"/>
    </font>
    <font>
      <sz val="13"/>
      <name val="B Nazanin"/>
      <charset val="178"/>
    </font>
    <font>
      <b/>
      <u/>
      <sz val="13"/>
      <color theme="1"/>
      <name val="B Nazanin"/>
      <charset val="178"/>
    </font>
    <font>
      <b/>
      <sz val="13"/>
      <color rgb="FF0062AC"/>
      <name val="B Titr"/>
      <charset val="178"/>
    </font>
    <font>
      <sz val="13"/>
      <color theme="1"/>
      <name val="B Mitra"/>
      <charset val="178"/>
    </font>
    <font>
      <sz val="13"/>
      <color theme="1"/>
      <name val="Calibri"/>
      <family val="2"/>
      <charset val="178"/>
      <scheme val="minor"/>
    </font>
    <font>
      <b/>
      <sz val="13"/>
      <color rgb="FF0062AC"/>
      <name val="B Nazanin"/>
      <charset val="178"/>
    </font>
    <font>
      <b/>
      <sz val="13"/>
      <color rgb="FF000000"/>
      <name val="B Nazanin"/>
      <charset val="178"/>
    </font>
    <font>
      <sz val="13"/>
      <color rgb="FF000000"/>
      <name val="B Nazanin"/>
      <charset val="178"/>
    </font>
    <font>
      <sz val="13"/>
      <name val="B Mitra"/>
      <charset val="178"/>
    </font>
    <font>
      <b/>
      <u/>
      <sz val="12"/>
      <color theme="1"/>
      <name val="B Nazanin"/>
      <charset val="178"/>
    </font>
    <font>
      <b/>
      <sz val="13"/>
      <color theme="1"/>
      <name val="Calibri"/>
      <family val="2"/>
      <charset val="178"/>
      <scheme val="minor"/>
    </font>
    <font>
      <b/>
      <sz val="13"/>
      <color theme="1"/>
      <name val="B Mitra"/>
      <charset val="178"/>
    </font>
    <font>
      <b/>
      <sz val="13"/>
      <name val="B Nazanin"/>
      <charset val="178"/>
    </font>
    <font>
      <b/>
      <sz val="13"/>
      <color rgb="FFFF0000"/>
      <name val="B Nazanin"/>
      <charset val="178"/>
    </font>
    <font>
      <b/>
      <sz val="11"/>
      <color theme="1"/>
      <name val="Calibri"/>
      <family val="2"/>
      <charset val="178"/>
      <scheme val="minor"/>
    </font>
    <font>
      <u/>
      <sz val="11"/>
      <color theme="1"/>
      <name val="Calibri"/>
      <family val="2"/>
      <charset val="178"/>
      <scheme val="minor"/>
    </font>
    <font>
      <sz val="10"/>
      <color theme="0"/>
      <name val="B Nazanin"/>
      <charset val="178"/>
    </font>
    <font>
      <sz val="13"/>
      <color theme="0"/>
      <name val="B Nazanin"/>
      <charset val="178"/>
    </font>
    <font>
      <sz val="11"/>
      <color theme="0"/>
      <name val="Calibri"/>
      <family val="2"/>
      <charset val="178"/>
      <scheme val="minor"/>
    </font>
    <font>
      <b/>
      <sz val="13"/>
      <color theme="0"/>
      <name val="B Nazanin"/>
      <charset val="178"/>
    </font>
    <font>
      <sz val="11"/>
      <name val="Calibri"/>
      <family val="2"/>
      <charset val="178"/>
      <scheme val="minor"/>
    </font>
    <font>
      <b/>
      <sz val="12"/>
      <name val="B Titr"/>
      <charset val="178"/>
    </font>
    <font>
      <sz val="13"/>
      <name val="Calibri"/>
      <family val="2"/>
      <charset val="178"/>
      <scheme val="minor"/>
    </font>
    <font>
      <b/>
      <sz val="9"/>
      <color theme="0"/>
      <name val="Tahoma"/>
      <family val="2"/>
    </font>
    <font>
      <b/>
      <sz val="13"/>
      <name val="B Titr"/>
      <charset val="178"/>
    </font>
    <font>
      <b/>
      <sz val="13"/>
      <name val="B Mitra"/>
      <charset val="178"/>
    </font>
    <font>
      <b/>
      <sz val="12"/>
      <color theme="1"/>
      <name val="B Titr"/>
      <charset val="178"/>
    </font>
    <font>
      <b/>
      <sz val="9"/>
      <color theme="1"/>
      <name val="Tahoma"/>
      <family val="2"/>
    </font>
    <font>
      <sz val="11"/>
      <color theme="1"/>
      <name val="Calibri"/>
      <family val="2"/>
      <charset val="178"/>
      <scheme val="minor"/>
    </font>
    <font>
      <b/>
      <u/>
      <sz val="18"/>
      <name val="B Nazanin"/>
      <charset val="178"/>
    </font>
    <font>
      <u/>
      <sz val="11"/>
      <color theme="1"/>
      <name val="B Nazanin"/>
      <charset val="178"/>
    </font>
    <font>
      <b/>
      <sz val="9"/>
      <color rgb="FF000000"/>
      <name val="Tahoma"/>
      <family val="2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9"/>
      <color rgb="FF000000"/>
      <name val="Tahoma"/>
      <family val="2"/>
    </font>
    <font>
      <sz val="12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3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3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vertical="center" readingOrder="2"/>
    </xf>
    <xf numFmtId="9" fontId="5" fillId="0" borderId="0" xfId="0" applyNumberFormat="1" applyFont="1" applyAlignment="1">
      <alignment horizontal="center" vertical="center" readingOrder="2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 readingOrder="2"/>
    </xf>
    <xf numFmtId="3" fontId="5" fillId="0" borderId="0" xfId="0" applyNumberFormat="1" applyFont="1" applyAlignment="1">
      <alignment horizontal="right" vertical="center" wrapText="1" readingOrder="2"/>
    </xf>
    <xf numFmtId="3" fontId="6" fillId="0" borderId="2" xfId="0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right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2" fillId="0" borderId="0" xfId="0" applyFont="1" applyAlignment="1">
      <alignment vertical="center" readingOrder="2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 wrapText="1" readingOrder="2"/>
    </xf>
    <xf numFmtId="0" fontId="14" fillId="0" borderId="0" xfId="0" applyFont="1" applyAlignment="1">
      <alignment horizontal="center" vertical="center" wrapText="1" readingOrder="2"/>
    </xf>
    <xf numFmtId="0" fontId="14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/>
    <xf numFmtId="0" fontId="7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 readingOrder="2"/>
    </xf>
    <xf numFmtId="3" fontId="5" fillId="0" borderId="0" xfId="0" applyNumberFormat="1" applyFont="1" applyAlignment="1">
      <alignment vertical="center" wrapText="1"/>
    </xf>
    <xf numFmtId="164" fontId="7" fillId="2" borderId="0" xfId="0" applyNumberFormat="1" applyFont="1" applyFill="1" applyAlignment="1">
      <alignment horizontal="right" vertical="center" readingOrder="2"/>
    </xf>
    <xf numFmtId="0" fontId="7" fillId="2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right" vertical="center" wrapText="1" readingOrder="2"/>
    </xf>
    <xf numFmtId="0" fontId="6" fillId="0" borderId="0" xfId="0" applyFont="1"/>
    <xf numFmtId="0" fontId="17" fillId="0" borderId="0" xfId="0" applyFont="1"/>
    <xf numFmtId="3" fontId="15" fillId="2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 wrapText="1" readingOrder="2"/>
    </xf>
    <xf numFmtId="38" fontId="6" fillId="0" borderId="2" xfId="0" applyNumberFormat="1" applyFont="1" applyBorder="1" applyAlignment="1">
      <alignment horizontal="center" vertical="center" readingOrder="2"/>
    </xf>
    <xf numFmtId="38" fontId="5" fillId="0" borderId="0" xfId="0" applyNumberFormat="1" applyFont="1" applyAlignment="1">
      <alignment horizontal="right" vertical="center" readingOrder="2"/>
    </xf>
    <xf numFmtId="0" fontId="11" fillId="0" borderId="0" xfId="0" applyFont="1" applyAlignment="1">
      <alignment vertical="center"/>
    </xf>
    <xf numFmtId="3" fontId="13" fillId="0" borderId="4" xfId="0" applyNumberFormat="1" applyFont="1" applyBorder="1" applyAlignment="1">
      <alignment vertical="center" wrapText="1" readingOrder="2"/>
    </xf>
    <xf numFmtId="3" fontId="6" fillId="0" borderId="0" xfId="0" applyNumberFormat="1" applyFont="1"/>
    <xf numFmtId="164" fontId="13" fillId="0" borderId="4" xfId="0" applyNumberFormat="1" applyFont="1" applyBorder="1" applyAlignment="1">
      <alignment vertical="center" wrapText="1" readingOrder="2"/>
    </xf>
    <xf numFmtId="38" fontId="13" fillId="0" borderId="4" xfId="0" applyNumberFormat="1" applyFont="1" applyBorder="1" applyAlignment="1">
      <alignment vertical="center" wrapText="1" readingOrder="2"/>
    </xf>
    <xf numFmtId="3" fontId="13" fillId="0" borderId="4" xfId="0" applyNumberFormat="1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1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0" fontId="1" fillId="2" borderId="0" xfId="0" applyFont="1" applyFill="1"/>
    <xf numFmtId="3" fontId="21" fillId="2" borderId="0" xfId="0" applyNumberFormat="1" applyFont="1" applyFill="1"/>
    <xf numFmtId="0" fontId="6" fillId="2" borderId="0" xfId="0" applyFont="1" applyFill="1" applyAlignment="1">
      <alignment vertical="center" wrapText="1" readingOrder="2"/>
    </xf>
    <xf numFmtId="3" fontId="6" fillId="2" borderId="2" xfId="0" applyNumberFormat="1" applyFont="1" applyFill="1" applyBorder="1" applyAlignment="1">
      <alignment horizontal="center" vertical="center" readingOrder="2"/>
    </xf>
    <xf numFmtId="0" fontId="6" fillId="2" borderId="0" xfId="0" applyFont="1" applyFill="1" applyAlignment="1">
      <alignment horizontal="center" vertical="center" wrapText="1" readingOrder="2"/>
    </xf>
    <xf numFmtId="3" fontId="6" fillId="2" borderId="2" xfId="0" applyNumberFormat="1" applyFont="1" applyFill="1" applyBorder="1" applyAlignment="1">
      <alignment horizontal="center" vertical="center" wrapText="1" readingOrder="2"/>
    </xf>
    <xf numFmtId="0" fontId="6" fillId="2" borderId="0" xfId="0" applyFont="1" applyFill="1"/>
    <xf numFmtId="3" fontId="6" fillId="2" borderId="0" xfId="0" applyNumberFormat="1" applyFont="1" applyFill="1" applyAlignment="1">
      <alignment horizontal="center" vertical="center" readingOrder="2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3" fontId="6" fillId="2" borderId="0" xfId="0" applyNumberFormat="1" applyFont="1" applyFill="1"/>
    <xf numFmtId="0" fontId="7" fillId="0" borderId="0" xfId="0" applyFont="1"/>
    <xf numFmtId="0" fontId="27" fillId="0" borderId="0" xfId="0" applyFont="1"/>
    <xf numFmtId="0" fontId="28" fillId="0" borderId="0" xfId="0" applyFont="1" applyAlignment="1">
      <alignment vertical="center" readingOrder="2"/>
    </xf>
    <xf numFmtId="0" fontId="29" fillId="0" borderId="0" xfId="0" applyFont="1" applyAlignment="1">
      <alignment vertical="center"/>
    </xf>
    <xf numFmtId="0" fontId="29" fillId="0" borderId="0" xfId="0" applyFont="1"/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readingOrder="2"/>
    </xf>
    <xf numFmtId="9" fontId="6" fillId="2" borderId="2" xfId="0" applyNumberFormat="1" applyFont="1" applyFill="1" applyBorder="1" applyAlignment="1">
      <alignment horizontal="center" vertical="center" readingOrder="2"/>
    </xf>
    <xf numFmtId="0" fontId="6" fillId="2" borderId="0" xfId="0" applyFont="1" applyFill="1" applyAlignment="1">
      <alignment horizontal="center" vertical="center" readingOrder="2"/>
    </xf>
    <xf numFmtId="3" fontId="26" fillId="0" borderId="0" xfId="0" applyNumberFormat="1" applyFont="1" applyAlignment="1">
      <alignment vertical="center" wrapText="1" readingOrder="2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3" fontId="0" fillId="2" borderId="0" xfId="0" applyNumberFormat="1" applyFill="1"/>
    <xf numFmtId="0" fontId="31" fillId="0" borderId="0" xfId="0" applyFont="1" applyAlignment="1">
      <alignment vertical="center" readingOrder="2"/>
    </xf>
    <xf numFmtId="0" fontId="19" fillId="0" borderId="0" xfId="0" applyFont="1"/>
    <xf numFmtId="0" fontId="24" fillId="2" borderId="0" xfId="0" applyFont="1" applyFill="1"/>
    <xf numFmtId="0" fontId="26" fillId="2" borderId="0" xfId="0" applyFont="1" applyFill="1"/>
    <xf numFmtId="3" fontId="30" fillId="2" borderId="0" xfId="0" applyNumberFormat="1" applyFont="1" applyFill="1"/>
    <xf numFmtId="3" fontId="25" fillId="2" borderId="0" xfId="0" applyNumberFormat="1" applyFont="1" applyFill="1"/>
    <xf numFmtId="0" fontId="6" fillId="0" borderId="3" xfId="0" applyFont="1" applyBorder="1" applyAlignment="1">
      <alignment vertical="center"/>
    </xf>
    <xf numFmtId="38" fontId="26" fillId="2" borderId="0" xfId="0" applyNumberFormat="1" applyFont="1" applyFill="1" applyAlignment="1">
      <alignment vertical="center" wrapText="1" readingOrder="2"/>
    </xf>
    <xf numFmtId="3" fontId="6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3" fontId="17" fillId="0" borderId="0" xfId="0" applyNumberFormat="1" applyFont="1"/>
    <xf numFmtId="3" fontId="11" fillId="0" borderId="0" xfId="0" applyNumberFormat="1" applyFont="1"/>
    <xf numFmtId="0" fontId="33" fillId="0" borderId="0" xfId="0" applyFont="1" applyAlignment="1">
      <alignment vertical="center" readingOrder="2"/>
    </xf>
    <xf numFmtId="3" fontId="34" fillId="0" borderId="0" xfId="0" applyNumberFormat="1" applyFont="1"/>
    <xf numFmtId="165" fontId="7" fillId="0" borderId="0" xfId="0" applyNumberFormat="1" applyFont="1"/>
    <xf numFmtId="165" fontId="19" fillId="0" borderId="0" xfId="0" applyNumberFormat="1" applyFont="1"/>
    <xf numFmtId="3" fontId="6" fillId="0" borderId="0" xfId="0" applyNumberFormat="1" applyFont="1" applyAlignment="1">
      <alignment horizontal="center" vertical="center" readingOrder="2"/>
    </xf>
    <xf numFmtId="3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3" fontId="6" fillId="0" borderId="2" xfId="0" applyNumberFormat="1" applyFont="1" applyBorder="1" applyAlignment="1">
      <alignment horizontal="center" vertical="center" wrapText="1" readingOrder="2"/>
    </xf>
    <xf numFmtId="38" fontId="6" fillId="2" borderId="2" xfId="0" applyNumberFormat="1" applyFont="1" applyFill="1" applyBorder="1" applyAlignment="1">
      <alignment horizontal="center" vertical="center" readingOrder="2"/>
    </xf>
    <xf numFmtId="38" fontId="5" fillId="2" borderId="0" xfId="0" applyNumberFormat="1" applyFont="1" applyFill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0" fontId="1" fillId="0" borderId="0" xfId="1" applyNumberFormat="1" applyFont="1"/>
    <xf numFmtId="166" fontId="24" fillId="0" borderId="0" xfId="2" applyNumberFormat="1" applyFont="1"/>
    <xf numFmtId="0" fontId="10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vertical="center" wrapText="1" readingOrder="2"/>
    </xf>
    <xf numFmtId="0" fontId="22" fillId="0" borderId="0" xfId="0" applyFont="1" applyAlignment="1" applyProtection="1">
      <alignment wrapText="1"/>
      <protection locked="0"/>
    </xf>
    <xf numFmtId="167" fontId="7" fillId="0" borderId="0" xfId="0" applyNumberFormat="1" applyFont="1"/>
    <xf numFmtId="167" fontId="19" fillId="0" borderId="0" xfId="0" applyNumberFormat="1" applyFont="1"/>
    <xf numFmtId="0" fontId="22" fillId="0" borderId="0" xfId="0" applyFont="1"/>
    <xf numFmtId="166" fontId="5" fillId="2" borderId="0" xfId="2" applyNumberFormat="1" applyFont="1" applyFill="1"/>
    <xf numFmtId="10" fontId="6" fillId="0" borderId="2" xfId="0" applyNumberFormat="1" applyFont="1" applyBorder="1" applyAlignment="1">
      <alignment horizontal="center" vertical="center" wrapText="1" readingOrder="2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7" fillId="0" borderId="0" xfId="0" applyFont="1" applyAlignment="1" applyProtection="1">
      <alignment wrapText="1"/>
      <protection locked="0"/>
    </xf>
    <xf numFmtId="43" fontId="23" fillId="0" borderId="0" xfId="2" applyFont="1"/>
    <xf numFmtId="0" fontId="1" fillId="0" borderId="0" xfId="0" applyFont="1" applyAlignment="1">
      <alignment horizontal="left" readingOrder="1"/>
    </xf>
    <xf numFmtId="0" fontId="6" fillId="0" borderId="6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vertical="center" wrapText="1" readingOrder="2"/>
    </xf>
    <xf numFmtId="38" fontId="5" fillId="2" borderId="8" xfId="0" applyNumberFormat="1" applyFont="1" applyFill="1" applyBorder="1" applyAlignment="1">
      <alignment vertical="center" wrapText="1"/>
    </xf>
    <xf numFmtId="164" fontId="5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164" fontId="5" fillId="0" borderId="0" xfId="0" applyNumberFormat="1" applyFont="1"/>
    <xf numFmtId="38" fontId="2" fillId="0" borderId="0" xfId="0" applyNumberFormat="1" applyFont="1"/>
    <xf numFmtId="3" fontId="2" fillId="0" borderId="0" xfId="0" applyNumberFormat="1" applyFont="1"/>
    <xf numFmtId="0" fontId="6" fillId="0" borderId="6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 readingOrder="2"/>
    </xf>
    <xf numFmtId="38" fontId="14" fillId="0" borderId="0" xfId="0" applyNumberFormat="1" applyFont="1" applyAlignment="1">
      <alignment horizontal="center" vertical="center" wrapText="1" readingOrder="2"/>
    </xf>
    <xf numFmtId="38" fontId="14" fillId="2" borderId="0" xfId="0" applyNumberFormat="1" applyFont="1" applyFill="1" applyAlignment="1">
      <alignment horizontal="center" vertical="center" wrapText="1" readingOrder="2"/>
    </xf>
    <xf numFmtId="3" fontId="14" fillId="0" borderId="0" xfId="0" applyNumberFormat="1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38" fontId="14" fillId="0" borderId="0" xfId="0" applyNumberFormat="1" applyFont="1" applyAlignment="1">
      <alignment horizontal="center" vertical="center" wrapText="1" readingOrder="1"/>
    </xf>
    <xf numFmtId="38" fontId="14" fillId="0" borderId="0" xfId="2" applyNumberFormat="1" applyFont="1" applyBorder="1" applyAlignment="1">
      <alignment horizontal="center" vertical="center" wrapText="1" readingOrder="1"/>
    </xf>
    <xf numFmtId="3" fontId="13" fillId="0" borderId="4" xfId="0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38" fontId="13" fillId="0" borderId="4" xfId="0" applyNumberFormat="1" applyFont="1" applyBorder="1" applyAlignment="1">
      <alignment horizontal="center" vertical="center" wrapText="1" readingOrder="1"/>
    </xf>
    <xf numFmtId="38" fontId="13" fillId="0" borderId="0" xfId="0" applyNumberFormat="1" applyFont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2"/>
    </xf>
    <xf numFmtId="0" fontId="5" fillId="0" borderId="8" xfId="0" applyFont="1" applyBorder="1" applyAlignment="1">
      <alignment vertical="center"/>
    </xf>
    <xf numFmtId="3" fontId="14" fillId="0" borderId="8" xfId="0" applyNumberFormat="1" applyFont="1" applyBorder="1" applyAlignment="1">
      <alignment horizontal="center" vertical="center" wrapText="1" readingOrder="1"/>
    </xf>
    <xf numFmtId="38" fontId="14" fillId="0" borderId="8" xfId="0" applyNumberFormat="1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2"/>
    </xf>
    <xf numFmtId="38" fontId="5" fillId="0" borderId="0" xfId="0" applyNumberFormat="1" applyFont="1" applyAlignment="1">
      <alignment horizontal="center" vertical="center" wrapText="1" readingOrder="1"/>
    </xf>
    <xf numFmtId="38" fontId="5" fillId="0" borderId="8" xfId="0" applyNumberFormat="1" applyFont="1" applyBorder="1" applyAlignment="1">
      <alignment horizontal="center" vertical="center" wrapText="1" readingOrder="1"/>
    </xf>
    <xf numFmtId="38" fontId="6" fillId="0" borderId="4" xfId="0" applyNumberFormat="1" applyFont="1" applyBorder="1" applyAlignment="1">
      <alignment horizontal="center" vertical="center" wrapText="1" readingOrder="1"/>
    </xf>
    <xf numFmtId="38" fontId="1" fillId="2" borderId="0" xfId="0" applyNumberFormat="1" applyFont="1" applyFill="1"/>
    <xf numFmtId="0" fontId="23" fillId="2" borderId="0" xfId="0" applyFont="1" applyFill="1"/>
    <xf numFmtId="10" fontId="5" fillId="2" borderId="0" xfId="2" applyNumberFormat="1" applyFont="1" applyFill="1" applyBorder="1" applyAlignment="1">
      <alignment horizontal="center" vertical="center" wrapText="1" readingOrder="1"/>
    </xf>
    <xf numFmtId="3" fontId="5" fillId="2" borderId="0" xfId="0" applyNumberFormat="1" applyFont="1" applyFill="1"/>
    <xf numFmtId="3" fontId="6" fillId="2" borderId="0" xfId="0" applyNumberFormat="1" applyFont="1" applyFill="1" applyAlignment="1">
      <alignment horizontal="center"/>
    </xf>
    <xf numFmtId="3" fontId="27" fillId="0" borderId="0" xfId="0" applyNumberFormat="1" applyFont="1"/>
    <xf numFmtId="3" fontId="38" fillId="0" borderId="0" xfId="0" applyNumberFormat="1" applyFont="1"/>
    <xf numFmtId="3" fontId="7" fillId="0" borderId="0" xfId="0" applyNumberFormat="1" applyFont="1" applyAlignment="1">
      <alignment horizontal="right" vertical="center"/>
    </xf>
    <xf numFmtId="37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readingOrder="2"/>
    </xf>
    <xf numFmtId="38" fontId="7" fillId="0" borderId="0" xfId="0" applyNumberFormat="1" applyFont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6" fontId="7" fillId="0" borderId="0" xfId="2" applyNumberFormat="1" applyFont="1" applyFill="1" applyAlignment="1">
      <alignment horizontal="right" vertical="center"/>
    </xf>
    <xf numFmtId="43" fontId="7" fillId="0" borderId="0" xfId="2" applyFont="1" applyFill="1" applyAlignment="1">
      <alignment horizontal="right" vertical="center"/>
    </xf>
    <xf numFmtId="3" fontId="13" fillId="0" borderId="10" xfId="0" applyNumberFormat="1" applyFont="1" applyBorder="1" applyAlignment="1">
      <alignment horizontal="center" vertical="center" wrapText="1" readingOrder="2"/>
    </xf>
    <xf numFmtId="38" fontId="13" fillId="0" borderId="10" xfId="0" applyNumberFormat="1" applyFont="1" applyBorder="1" applyAlignment="1">
      <alignment horizontal="center" vertical="center" wrapText="1" readingOrder="2"/>
    </xf>
    <xf numFmtId="164" fontId="13" fillId="0" borderId="10" xfId="0" applyNumberFormat="1" applyFont="1" applyBorder="1" applyAlignment="1">
      <alignment horizontal="center" vertical="center" wrapText="1" readingOrder="2"/>
    </xf>
    <xf numFmtId="38" fontId="5" fillId="0" borderId="0" xfId="0" applyNumberFormat="1" applyFont="1"/>
    <xf numFmtId="10" fontId="5" fillId="0" borderId="0" xfId="1" applyNumberFormat="1" applyFont="1"/>
    <xf numFmtId="10" fontId="6" fillId="0" borderId="0" xfId="0" applyNumberFormat="1" applyFont="1"/>
    <xf numFmtId="3" fontId="14" fillId="0" borderId="0" xfId="0" applyNumberFormat="1" applyFont="1" applyBorder="1" applyAlignment="1">
      <alignment vertical="center" wrapText="1" readingOrder="2"/>
    </xf>
    <xf numFmtId="164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/>
    <xf numFmtId="10" fontId="5" fillId="2" borderId="0" xfId="0" applyNumberFormat="1" applyFont="1" applyFill="1" applyAlignment="1">
      <alignment horizontal="center" vertical="center" wrapText="1" readingOrder="1"/>
    </xf>
    <xf numFmtId="3" fontId="7" fillId="0" borderId="0" xfId="0" applyNumberFormat="1" applyFont="1" applyFill="1" applyAlignment="1">
      <alignment horizontal="right" vertical="center"/>
    </xf>
    <xf numFmtId="38" fontId="11" fillId="0" borderId="0" xfId="0" applyNumberFormat="1" applyFont="1"/>
    <xf numFmtId="166" fontId="0" fillId="0" borderId="0" xfId="2" applyNumberFormat="1" applyFont="1"/>
    <xf numFmtId="1" fontId="5" fillId="0" borderId="0" xfId="1" applyNumberFormat="1" applyFont="1"/>
    <xf numFmtId="166" fontId="5" fillId="0" borderId="0" xfId="2" applyNumberFormat="1" applyFont="1"/>
    <xf numFmtId="0" fontId="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166" fontId="2" fillId="0" borderId="0" xfId="2" applyNumberFormat="1" applyFont="1"/>
    <xf numFmtId="0" fontId="40" fillId="0" borderId="0" xfId="0" applyFont="1"/>
    <xf numFmtId="0" fontId="40" fillId="0" borderId="0" xfId="0" applyFont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166" fontId="39" fillId="0" borderId="0" xfId="2" applyNumberFormat="1" applyFont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38" fontId="5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38" fontId="39" fillId="0" borderId="0" xfId="0" applyNumberFormat="1" applyFont="1" applyAlignment="1">
      <alignment horizontal="center" vertical="center"/>
    </xf>
    <xf numFmtId="38" fontId="40" fillId="0" borderId="10" xfId="0" applyNumberFormat="1" applyFont="1" applyBorder="1" applyAlignment="1">
      <alignment horizontal="center" vertical="center"/>
    </xf>
    <xf numFmtId="10" fontId="5" fillId="2" borderId="0" xfId="0" applyNumberFormat="1" applyFont="1" applyFill="1" applyAlignment="1">
      <alignment horizontal="right" vertical="center" readingOrder="2"/>
    </xf>
    <xf numFmtId="3" fontId="5" fillId="0" borderId="0" xfId="0" applyNumberFormat="1" applyFont="1" applyAlignment="1">
      <alignment vertical="center" wrapText="1" readingOrder="2"/>
    </xf>
    <xf numFmtId="10" fontId="5" fillId="0" borderId="0" xfId="1" applyNumberFormat="1" applyFont="1" applyAlignment="1">
      <alignment vertical="center" wrapText="1" readingOrder="2"/>
    </xf>
    <xf numFmtId="3" fontId="7" fillId="0" borderId="1" xfId="0" applyNumberFormat="1" applyFont="1" applyBorder="1" applyAlignment="1">
      <alignment horizontal="right" vertical="center"/>
    </xf>
    <xf numFmtId="3" fontId="39" fillId="0" borderId="0" xfId="0" applyNumberFormat="1" applyFont="1" applyAlignment="1">
      <alignment horizontal="center" vertical="center"/>
    </xf>
    <xf numFmtId="166" fontId="1" fillId="2" borderId="0" xfId="2" applyNumberFormat="1" applyFont="1" applyFill="1"/>
    <xf numFmtId="3" fontId="14" fillId="0" borderId="0" xfId="0" applyNumberFormat="1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38" fontId="14" fillId="0" borderId="0" xfId="0" applyNumberFormat="1" applyFont="1" applyBorder="1" applyAlignment="1">
      <alignment horizontal="center" vertical="center" wrapText="1" readingOrder="1"/>
    </xf>
    <xf numFmtId="38" fontId="5" fillId="0" borderId="0" xfId="0" applyNumberFormat="1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38" fontId="14" fillId="0" borderId="8" xfId="2" applyNumberFormat="1" applyFont="1" applyBorder="1" applyAlignment="1">
      <alignment horizontal="center" vertical="center" wrapText="1" readingOrder="1"/>
    </xf>
    <xf numFmtId="38" fontId="0" fillId="0" borderId="0" xfId="0" applyNumberFormat="1"/>
    <xf numFmtId="3" fontId="5" fillId="0" borderId="0" xfId="0" applyNumberFormat="1" applyFont="1" applyAlignment="1">
      <alignment horizontal="right" vertical="center" readingOrder="2"/>
    </xf>
    <xf numFmtId="3" fontId="40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 readingOrder="1"/>
    </xf>
    <xf numFmtId="3" fontId="0" fillId="0" borderId="0" xfId="0" applyNumberFormat="1" applyProtection="1">
      <protection locked="0"/>
    </xf>
    <xf numFmtId="0" fontId="6" fillId="0" borderId="0" xfId="0" applyFont="1" applyAlignment="1">
      <alignment horizontal="center" vertical="center"/>
    </xf>
    <xf numFmtId="3" fontId="13" fillId="0" borderId="10" xfId="0" applyNumberFormat="1" applyFont="1" applyBorder="1" applyAlignment="1">
      <alignment vertical="center" wrapText="1" readingOrder="2"/>
    </xf>
    <xf numFmtId="164" fontId="13" fillId="0" borderId="10" xfId="0" applyNumberFormat="1" applyFont="1" applyBorder="1" applyAlignment="1">
      <alignment vertical="center" wrapText="1" readingOrder="2"/>
    </xf>
    <xf numFmtId="0" fontId="39" fillId="0" borderId="1" xfId="0" applyFont="1" applyBorder="1" applyAlignment="1">
      <alignment horizontal="center" vertical="center"/>
    </xf>
    <xf numFmtId="166" fontId="39" fillId="0" borderId="1" xfId="2" applyNumberFormat="1" applyFont="1" applyBorder="1" applyAlignment="1">
      <alignment horizontal="center" vertical="center"/>
    </xf>
    <xf numFmtId="3" fontId="39" fillId="0" borderId="1" xfId="0" applyNumberFormat="1" applyFont="1" applyBorder="1" applyAlignment="1">
      <alignment horizontal="center" vertical="center"/>
    </xf>
    <xf numFmtId="166" fontId="39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166" fontId="6" fillId="0" borderId="4" xfId="0" applyNumberFormat="1" applyFont="1" applyBorder="1" applyAlignment="1">
      <alignment horizontal="right"/>
    </xf>
    <xf numFmtId="10" fontId="6" fillId="0" borderId="4" xfId="1" applyNumberFormat="1" applyFont="1" applyBorder="1" applyAlignment="1">
      <alignment horizontal="right"/>
    </xf>
    <xf numFmtId="10" fontId="39" fillId="0" borderId="0" xfId="1" applyNumberFormat="1" applyFont="1" applyAlignment="1">
      <alignment horizontal="center" vertical="center"/>
    </xf>
    <xf numFmtId="166" fontId="6" fillId="0" borderId="0" xfId="0" applyNumberFormat="1" applyFont="1" applyBorder="1" applyAlignment="1">
      <alignment horizontal="right"/>
    </xf>
    <xf numFmtId="10" fontId="13" fillId="2" borderId="10" xfId="0" applyNumberFormat="1" applyFont="1" applyFill="1" applyBorder="1" applyAlignment="1">
      <alignment horizontal="center" vertical="center" wrapText="1" readingOrder="1"/>
    </xf>
    <xf numFmtId="3" fontId="5" fillId="0" borderId="0" xfId="0" applyNumberFormat="1" applyFont="1" applyAlignment="1">
      <alignment horizontal="right" vertical="center" readingOrder="2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/>
    </xf>
    <xf numFmtId="3" fontId="41" fillId="0" borderId="0" xfId="0" applyNumberFormat="1" applyFont="1"/>
    <xf numFmtId="3" fontId="5" fillId="0" borderId="0" xfId="0" applyNumberFormat="1" applyFont="1" applyAlignment="1">
      <alignment horizontal="right" vertical="center" readingOrder="2"/>
    </xf>
    <xf numFmtId="0" fontId="4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166" fontId="6" fillId="0" borderId="10" xfId="2" applyNumberFormat="1" applyFont="1" applyBorder="1" applyAlignment="1">
      <alignment horizontal="center" vertical="center"/>
    </xf>
    <xf numFmtId="9" fontId="13" fillId="2" borderId="10" xfId="0" applyNumberFormat="1" applyFont="1" applyFill="1" applyBorder="1" applyAlignment="1">
      <alignment horizontal="center" vertical="center" wrapText="1" readingOrder="1"/>
    </xf>
    <xf numFmtId="3" fontId="5" fillId="0" borderId="0" xfId="0" applyNumberFormat="1" applyFont="1" applyAlignment="1">
      <alignment horizontal="right" vertical="center" readingOrder="2"/>
    </xf>
    <xf numFmtId="3" fontId="42" fillId="0" borderId="0" xfId="0" applyNumberFormat="1" applyFont="1"/>
    <xf numFmtId="166" fontId="7" fillId="0" borderId="0" xfId="2" applyNumberFormat="1" applyFont="1"/>
    <xf numFmtId="0" fontId="43" fillId="0" borderId="0" xfId="0" applyFont="1"/>
    <xf numFmtId="166" fontId="0" fillId="0" borderId="0" xfId="0" applyNumberFormat="1"/>
    <xf numFmtId="38" fontId="5" fillId="0" borderId="0" xfId="0" applyNumberFormat="1" applyFont="1" applyFill="1" applyBorder="1" applyAlignment="1">
      <alignment vertical="center" wrapText="1"/>
    </xf>
    <xf numFmtId="37" fontId="36" fillId="0" borderId="0" xfId="0" applyNumberFormat="1" applyFont="1" applyAlignment="1" applyProtection="1">
      <alignment horizontal="center" vertical="center" wrapText="1"/>
      <protection locked="0"/>
    </xf>
    <xf numFmtId="37" fontId="3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2"/>
    </xf>
    <xf numFmtId="3" fontId="1" fillId="2" borderId="0" xfId="0" applyNumberFormat="1" applyFont="1" applyFill="1" applyAlignment="1">
      <alignment horizontal="center"/>
    </xf>
    <xf numFmtId="0" fontId="6" fillId="0" borderId="3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readingOrder="2"/>
    </xf>
    <xf numFmtId="0" fontId="6" fillId="2" borderId="3" xfId="0" applyFont="1" applyFill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readingOrder="2"/>
    </xf>
    <xf numFmtId="0" fontId="40" fillId="0" borderId="9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/>
    </xf>
    <xf numFmtId="0" fontId="39" fillId="0" borderId="0" xfId="0" applyFont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 readingOrder="2"/>
    </xf>
    <xf numFmtId="0" fontId="40" fillId="0" borderId="9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readingOrder="2"/>
    </xf>
    <xf numFmtId="0" fontId="40" fillId="0" borderId="6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166" fontId="5" fillId="0" borderId="0" xfId="2" applyNumberFormat="1" applyFont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 readingOrder="2"/>
    </xf>
    <xf numFmtId="3" fontId="6" fillId="0" borderId="2" xfId="0" applyNumberFormat="1" applyFont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 readingOrder="2"/>
    </xf>
    <xf numFmtId="3" fontId="5" fillId="0" borderId="0" xfId="0" applyNumberFormat="1" applyFont="1" applyBorder="1" applyAlignment="1">
      <alignment horizontal="right" vertical="center" readingOrder="2"/>
    </xf>
    <xf numFmtId="3" fontId="5" fillId="0" borderId="0" xfId="0" applyNumberFormat="1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9" fontId="5" fillId="2" borderId="3" xfId="0" applyNumberFormat="1" applyFont="1" applyFill="1" applyBorder="1" applyAlignment="1">
      <alignment horizontal="center" vertical="center" readingOrder="2"/>
    </xf>
    <xf numFmtId="9" fontId="5" fillId="2" borderId="0" xfId="0" applyNumberFormat="1" applyFont="1" applyFill="1" applyBorder="1" applyAlignment="1">
      <alignment horizontal="center" vertical="center" readingOrder="2"/>
    </xf>
    <xf numFmtId="9" fontId="5" fillId="2" borderId="1" xfId="0" applyNumberFormat="1" applyFont="1" applyFill="1" applyBorder="1" applyAlignment="1">
      <alignment horizontal="center" vertical="center" readingOrder="2"/>
    </xf>
    <xf numFmtId="0" fontId="13" fillId="0" borderId="8" xfId="0" applyFont="1" applyBorder="1" applyAlignment="1">
      <alignment horizontal="center" vertical="center" wrapText="1" readingOrder="2"/>
    </xf>
    <xf numFmtId="0" fontId="13" fillId="0" borderId="9" xfId="0" applyFont="1" applyBorder="1" applyAlignment="1">
      <alignment horizontal="center" vertical="center" wrapText="1" readingOrder="2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12</xdr:row>
      <xdr:rowOff>1352550</xdr:rowOff>
    </xdr:from>
    <xdr:to>
      <xdr:col>4</xdr:col>
      <xdr:colOff>838069</xdr:colOff>
      <xdr:row>16</xdr:row>
      <xdr:rowOff>428475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238481" y="3638550"/>
          <a:ext cx="1047619" cy="12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2</xdr:row>
      <xdr:rowOff>197533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924525" y="0"/>
          <a:ext cx="638175" cy="7309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714375</xdr:colOff>
      <xdr:row>2</xdr:row>
      <xdr:rowOff>199774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952975" y="19050"/>
          <a:ext cx="714375" cy="7331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238125</xdr:rowOff>
    </xdr:from>
    <xdr:to>
      <xdr:col>0</xdr:col>
      <xdr:colOff>790575</xdr:colOff>
      <xdr:row>4</xdr:row>
      <xdr:rowOff>44346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734150" y="238125"/>
          <a:ext cx="790575" cy="911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0</xdr:col>
      <xdr:colOff>1181100</xdr:colOff>
      <xdr:row>2</xdr:row>
      <xdr:rowOff>211211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572100" y="0"/>
          <a:ext cx="666750" cy="7636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419100</xdr:colOff>
      <xdr:row>2</xdr:row>
      <xdr:rowOff>19121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8161400" y="0"/>
          <a:ext cx="1019175" cy="952571"/>
        </a:xfrm>
        <a:prstGeom prst="rect">
          <a:avLst/>
        </a:prstGeom>
      </xdr:spPr>
    </xdr:pic>
    <xdr:clientData/>
  </xdr:twoCellAnchor>
  <xdr:twoCellAnchor editAs="oneCell">
    <xdr:from>
      <xdr:col>65</xdr:col>
      <xdr:colOff>83518</xdr:colOff>
      <xdr:row>3</xdr:row>
      <xdr:rowOff>0</xdr:rowOff>
    </xdr:from>
    <xdr:to>
      <xdr:col>94</xdr:col>
      <xdr:colOff>62261</xdr:colOff>
      <xdr:row>9</xdr:row>
      <xdr:rowOff>466336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0321739" y="1390650"/>
          <a:ext cx="17657143" cy="31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904875</xdr:colOff>
      <xdr:row>2</xdr:row>
      <xdr:rowOff>241503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219550" y="0"/>
          <a:ext cx="809625" cy="9273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762000</xdr:colOff>
      <xdr:row>2</xdr:row>
      <xdr:rowOff>145755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734150" y="0"/>
          <a:ext cx="609600" cy="6982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695325</xdr:colOff>
      <xdr:row>2</xdr:row>
      <xdr:rowOff>243940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772250" y="0"/>
          <a:ext cx="695325" cy="796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2</xdr:col>
      <xdr:colOff>76200</xdr:colOff>
      <xdr:row>2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933925" y="1"/>
          <a:ext cx="714375" cy="9334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1724025</xdr:colOff>
      <xdr:row>2</xdr:row>
      <xdr:rowOff>211211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6981550" y="0"/>
          <a:ext cx="666750" cy="7636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1295400</xdr:colOff>
      <xdr:row>0</xdr:row>
      <xdr:rowOff>47625</xdr:rowOff>
    </xdr:from>
    <xdr:to>
      <xdr:col>1</xdr:col>
      <xdr:colOff>133350</xdr:colOff>
      <xdr:row>2</xdr:row>
      <xdr:rowOff>247927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810225" y="47625"/>
          <a:ext cx="657225" cy="752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1:J21"/>
  <sheetViews>
    <sheetView rightToLeft="1" tabSelected="1" zoomScaleNormal="100" zoomScaleSheetLayoutView="100" workbookViewId="0">
      <selection activeCell="K20" sqref="K20"/>
    </sheetView>
  </sheetViews>
  <sheetFormatPr defaultRowHeight="15" x14ac:dyDescent="0.25"/>
  <cols>
    <col min="1" max="4" width="9.140625" style="124"/>
    <col min="5" max="5" width="12.85546875" style="124" customWidth="1"/>
    <col min="6" max="8" width="9.140625" style="124"/>
    <col min="9" max="9" width="2.85546875" style="124" customWidth="1"/>
    <col min="10" max="16384" width="9.140625" style="124"/>
  </cols>
  <sheetData>
    <row r="11" spans="1:10" x14ac:dyDescent="0.25">
      <c r="H11" s="237"/>
    </row>
    <row r="13" spans="1:10" ht="113.25" customHeight="1" x14ac:dyDescent="0.25">
      <c r="C13" s="271" t="s">
        <v>71</v>
      </c>
      <c r="D13" s="271"/>
      <c r="E13" s="271"/>
      <c r="F13" s="271"/>
      <c r="G13" s="271"/>
    </row>
    <row r="14" spans="1:10" ht="18" x14ac:dyDescent="0.45">
      <c r="C14" s="135"/>
      <c r="D14" s="135"/>
      <c r="E14" s="135"/>
      <c r="F14" s="135"/>
      <c r="G14" s="135"/>
    </row>
    <row r="15" spans="1:10" ht="18" x14ac:dyDescent="0.45">
      <c r="C15" s="135"/>
      <c r="D15" s="135"/>
      <c r="E15" s="135"/>
      <c r="F15" s="135"/>
      <c r="G15" s="135"/>
    </row>
    <row r="16" spans="1:10" ht="18" x14ac:dyDescent="0.45">
      <c r="A16" s="123"/>
      <c r="B16" s="123"/>
      <c r="C16" s="136"/>
      <c r="D16" s="136"/>
      <c r="E16" s="136"/>
      <c r="F16" s="136"/>
      <c r="G16" s="136"/>
      <c r="H16" s="123"/>
      <c r="I16" s="123"/>
      <c r="J16" s="123"/>
    </row>
    <row r="17" spans="1:10" ht="48" customHeight="1" x14ac:dyDescent="0.45">
      <c r="B17" s="129"/>
      <c r="C17" s="137"/>
      <c r="D17" s="137"/>
      <c r="E17" s="137"/>
      <c r="F17" s="137"/>
      <c r="G17" s="137"/>
      <c r="H17" s="129"/>
      <c r="I17" s="129"/>
      <c r="J17" s="129"/>
    </row>
    <row r="18" spans="1:10" ht="18" x14ac:dyDescent="0.45">
      <c r="A18" s="123"/>
      <c r="B18" s="123"/>
      <c r="C18" s="136"/>
      <c r="D18" s="136"/>
      <c r="E18" s="136"/>
      <c r="F18" s="136"/>
      <c r="G18" s="136"/>
      <c r="H18" s="123"/>
      <c r="I18" s="123"/>
      <c r="J18" s="123"/>
    </row>
    <row r="19" spans="1:10" ht="48.75" customHeight="1" x14ac:dyDescent="0.25">
      <c r="A19" s="3"/>
      <c r="B19" s="3"/>
      <c r="C19" s="272" t="s">
        <v>65</v>
      </c>
      <c r="D19" s="272"/>
      <c r="E19" s="272"/>
      <c r="F19" s="272"/>
      <c r="G19" s="272"/>
      <c r="H19" s="3"/>
      <c r="I19" s="3"/>
      <c r="J19" s="3"/>
    </row>
    <row r="20" spans="1:10" ht="42.75" customHeight="1" x14ac:dyDescent="0.25">
      <c r="B20" s="132"/>
      <c r="C20" s="272" t="s">
        <v>173</v>
      </c>
      <c r="D20" s="272"/>
      <c r="E20" s="272"/>
      <c r="F20" s="272"/>
      <c r="G20" s="272"/>
      <c r="H20" s="132"/>
      <c r="I20" s="132"/>
      <c r="J20" s="132"/>
    </row>
    <row r="21" spans="1:10" ht="42" customHeight="1" x14ac:dyDescent="0.25">
      <c r="B21" s="132"/>
      <c r="C21" s="132"/>
      <c r="D21" s="132"/>
      <c r="E21" s="132"/>
      <c r="F21" s="132"/>
      <c r="G21" s="132"/>
      <c r="H21" s="132"/>
      <c r="I21" s="132"/>
      <c r="J21" s="132"/>
    </row>
  </sheetData>
  <customSheetViews>
    <customSheetView guid="{9B1DBD13-10C2-4EFD-B3C9-81858DAEB6DD}" topLeftCell="A19">
      <selection activeCell="A27" sqref="A27"/>
      <pageMargins left="0.7" right="0.7" top="0.75" bottom="0.75" header="0.3" footer="0.3"/>
      <pageSetup paperSize="9" orientation="portrait" r:id="rId1"/>
    </customSheetView>
    <customSheetView guid="{0FB03AA2-1E4C-49B5-A51E-AA30FB031C6E}">
      <selection activeCell="A24" sqref="A24:J24"/>
      <pageMargins left="0.7" right="0.7" top="0.75" bottom="0.75" header="0.3" footer="0.3"/>
      <pageSetup paperSize="9" orientation="portrait" r:id="rId2"/>
    </customSheetView>
  </customSheetViews>
  <mergeCells count="3">
    <mergeCell ref="C13:G13"/>
    <mergeCell ref="C19:G19"/>
    <mergeCell ref="C20:G20"/>
  </mergeCell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17"/>
  <sheetViews>
    <sheetView rightToLeft="1" view="pageBreakPreview" zoomScaleNormal="100" zoomScaleSheetLayoutView="100" workbookViewId="0">
      <selection activeCell="I21" sqref="I21"/>
    </sheetView>
  </sheetViews>
  <sheetFormatPr defaultRowHeight="15.75" x14ac:dyDescent="0.4"/>
  <cols>
    <col min="1" max="1" width="22" style="1" customWidth="1"/>
    <col min="2" max="2" width="0.7109375" style="1" customWidth="1"/>
    <col min="3" max="3" width="21.85546875" style="1" customWidth="1"/>
    <col min="4" max="4" width="0.7109375" style="1" customWidth="1"/>
    <col min="5" max="5" width="16.42578125" style="1" customWidth="1"/>
    <col min="6" max="6" width="0.28515625" style="1" customWidth="1"/>
    <col min="7" max="7" width="14.7109375" style="1" customWidth="1"/>
    <col min="8" max="8" width="0.5703125" style="1" customWidth="1"/>
    <col min="9" max="9" width="16.42578125" style="1" customWidth="1"/>
    <col min="10" max="10" width="0.5703125" style="1" customWidth="1"/>
    <col min="11" max="11" width="18.140625" style="1" customWidth="1"/>
    <col min="12" max="12" width="0.7109375" style="1" customWidth="1"/>
    <col min="13" max="14" width="9.140625" style="1"/>
    <col min="15" max="15" width="32.42578125" style="1" bestFit="1" customWidth="1"/>
    <col min="16" max="16384" width="9.140625" style="1"/>
  </cols>
  <sheetData>
    <row r="1" spans="1:19" ht="21" x14ac:dyDescent="0.55000000000000004">
      <c r="A1" s="325" t="s">
        <v>51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53"/>
      <c r="M1" s="53"/>
      <c r="N1" s="53"/>
      <c r="O1" s="53"/>
      <c r="P1" s="53"/>
      <c r="Q1" s="53"/>
      <c r="R1" s="53"/>
      <c r="S1" s="53"/>
    </row>
    <row r="2" spans="1:19" ht="21" x14ac:dyDescent="0.55000000000000004">
      <c r="A2" s="325" t="s">
        <v>48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53"/>
      <c r="M2" s="53"/>
      <c r="N2" s="53"/>
      <c r="O2" s="53"/>
      <c r="P2" s="53"/>
      <c r="Q2" s="53"/>
      <c r="R2" s="53"/>
      <c r="S2" s="53"/>
    </row>
    <row r="3" spans="1:19" ht="21" x14ac:dyDescent="0.55000000000000004">
      <c r="A3" s="325" t="str">
        <f>' سهام'!A3:Y3</f>
        <v>برای ماه منتهی به 31 خرداد 1402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53"/>
      <c r="M3" s="53"/>
      <c r="N3" s="53"/>
      <c r="O3" s="53"/>
      <c r="P3" s="53"/>
      <c r="Q3" s="53"/>
      <c r="R3" s="53"/>
      <c r="S3" s="53"/>
    </row>
    <row r="4" spans="1:19" ht="21" x14ac:dyDescent="0.55000000000000004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3"/>
      <c r="P4" s="53"/>
      <c r="Q4" s="53"/>
      <c r="R4" s="53"/>
      <c r="S4" s="53"/>
    </row>
    <row r="5" spans="1:19" ht="25.5" x14ac:dyDescent="0.4">
      <c r="A5" s="273" t="s">
        <v>126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</row>
    <row r="7" spans="1:19" s="5" customFormat="1" ht="28.5" customHeight="1" x14ac:dyDescent="0.5">
      <c r="A7" s="314" t="s">
        <v>19</v>
      </c>
      <c r="B7" s="314"/>
      <c r="C7" s="314"/>
      <c r="D7" s="13"/>
      <c r="E7" s="316" t="s">
        <v>169</v>
      </c>
      <c r="F7" s="316"/>
      <c r="G7" s="316"/>
      <c r="H7" s="68"/>
      <c r="I7" s="314" t="s">
        <v>167</v>
      </c>
      <c r="J7" s="314"/>
      <c r="K7" s="314"/>
      <c r="L7" s="32"/>
      <c r="M7" s="32"/>
    </row>
    <row r="8" spans="1:19" s="22" customFormat="1" ht="42.75" customHeight="1" x14ac:dyDescent="0.5">
      <c r="A8" s="140" t="s">
        <v>16</v>
      </c>
      <c r="B8" s="35"/>
      <c r="C8" s="140" t="s">
        <v>9</v>
      </c>
      <c r="D8" s="54"/>
      <c r="E8" s="140" t="s">
        <v>61</v>
      </c>
      <c r="F8" s="35"/>
      <c r="G8" s="140" t="s">
        <v>17</v>
      </c>
      <c r="H8" s="35"/>
      <c r="I8" s="140" t="s">
        <v>61</v>
      </c>
      <c r="J8" s="35"/>
      <c r="K8" s="140" t="s">
        <v>17</v>
      </c>
      <c r="L8" s="35"/>
      <c r="M8" s="35"/>
    </row>
    <row r="9" spans="1:19" s="5" customFormat="1" ht="30" customHeight="1" x14ac:dyDescent="0.5">
      <c r="A9" s="43" t="s">
        <v>62</v>
      </c>
      <c r="B9" s="13"/>
      <c r="C9" s="55">
        <v>226985001005</v>
      </c>
      <c r="D9" s="33"/>
      <c r="E9" s="141">
        <v>10877527</v>
      </c>
      <c r="F9" s="35"/>
      <c r="G9" s="33" t="s">
        <v>54</v>
      </c>
      <c r="H9" s="35"/>
      <c r="I9" s="141">
        <v>32947600</v>
      </c>
      <c r="J9" s="35"/>
      <c r="K9" s="33" t="s">
        <v>54</v>
      </c>
      <c r="L9" s="13"/>
      <c r="M9" s="13"/>
      <c r="O9" s="35"/>
    </row>
    <row r="10" spans="1:19" s="5" customFormat="1" ht="30" customHeight="1" x14ac:dyDescent="0.5">
      <c r="A10" s="43" t="s">
        <v>62</v>
      </c>
      <c r="B10" s="13"/>
      <c r="C10" s="55">
        <v>227855598000</v>
      </c>
      <c r="D10" s="33"/>
      <c r="E10" s="141">
        <v>1496967</v>
      </c>
      <c r="F10" s="35"/>
      <c r="G10" s="33" t="s">
        <v>54</v>
      </c>
      <c r="H10" s="35"/>
      <c r="I10" s="141">
        <v>5472057</v>
      </c>
      <c r="J10" s="35"/>
      <c r="K10" s="33" t="s">
        <v>54</v>
      </c>
      <c r="L10" s="13"/>
      <c r="M10" s="13"/>
      <c r="O10" s="35"/>
    </row>
    <row r="11" spans="1:19" s="5" customFormat="1" ht="30" customHeight="1" x14ac:dyDescent="0.5">
      <c r="A11" s="43" t="s">
        <v>62</v>
      </c>
      <c r="B11" s="13"/>
      <c r="C11" s="55">
        <v>227775365002</v>
      </c>
      <c r="D11" s="33"/>
      <c r="E11" s="141">
        <v>1661269</v>
      </c>
      <c r="F11" s="35"/>
      <c r="G11" s="33" t="s">
        <v>54</v>
      </c>
      <c r="H11" s="141">
        <f>'درآمد سپرده بانکی'!E13</f>
        <v>1957220</v>
      </c>
      <c r="I11" s="141">
        <v>13025678</v>
      </c>
      <c r="J11" s="35"/>
      <c r="K11" s="33" t="s">
        <v>54</v>
      </c>
      <c r="L11" s="13"/>
      <c r="M11" s="13"/>
      <c r="O11" s="35"/>
    </row>
    <row r="12" spans="1:19" s="5" customFormat="1" ht="30" customHeight="1" x14ac:dyDescent="0.5">
      <c r="A12" s="43" t="s">
        <v>62</v>
      </c>
      <c r="B12" s="13"/>
      <c r="C12" s="144">
        <v>227016319007</v>
      </c>
      <c r="D12" s="33"/>
      <c r="E12" s="141">
        <v>1218582</v>
      </c>
      <c r="F12" s="35"/>
      <c r="G12" s="33" t="s">
        <v>54</v>
      </c>
      <c r="H12" s="35"/>
      <c r="I12" s="141">
        <v>9486906</v>
      </c>
      <c r="J12" s="35"/>
      <c r="K12" s="33" t="s">
        <v>54</v>
      </c>
      <c r="L12" s="13"/>
      <c r="M12" s="13"/>
      <c r="O12" s="35"/>
    </row>
    <row r="13" spans="1:19" s="5" customFormat="1" ht="30" customHeight="1" x14ac:dyDescent="0.5">
      <c r="A13" s="43" t="s">
        <v>62</v>
      </c>
      <c r="B13" s="13"/>
      <c r="C13" s="144">
        <v>227563029003</v>
      </c>
      <c r="D13" s="33"/>
      <c r="E13" s="141">
        <v>1957220</v>
      </c>
      <c r="F13" s="35"/>
      <c r="G13" s="141" t="s">
        <v>54</v>
      </c>
      <c r="H13" s="35"/>
      <c r="I13" s="141">
        <v>6868070</v>
      </c>
      <c r="J13" s="35"/>
      <c r="K13" s="141" t="s">
        <v>54</v>
      </c>
      <c r="L13" s="13"/>
      <c r="M13" s="13"/>
      <c r="O13" s="35"/>
    </row>
    <row r="14" spans="1:19" s="5" customFormat="1" ht="30" customHeight="1" x14ac:dyDescent="0.5">
      <c r="A14" s="43" t="s">
        <v>62</v>
      </c>
      <c r="B14" s="13"/>
      <c r="C14" s="144">
        <v>227878919008</v>
      </c>
      <c r="D14" s="33"/>
      <c r="E14" s="143">
        <v>4968464</v>
      </c>
      <c r="F14" s="35"/>
      <c r="G14" s="143" t="s">
        <v>54</v>
      </c>
      <c r="H14" s="35"/>
      <c r="I14" s="143">
        <v>14525868</v>
      </c>
      <c r="J14" s="35"/>
      <c r="K14" s="143" t="s">
        <v>54</v>
      </c>
      <c r="L14" s="13"/>
      <c r="M14" s="13"/>
      <c r="O14" s="35"/>
    </row>
    <row r="15" spans="1:19" s="5" customFormat="1" ht="30" customHeight="1" thickBot="1" x14ac:dyDescent="0.55000000000000004">
      <c r="A15" s="67" t="s">
        <v>2</v>
      </c>
      <c r="B15" s="13"/>
      <c r="C15" s="69"/>
      <c r="D15" s="33"/>
      <c r="E15" s="63">
        <f>SUM(E9:E14)</f>
        <v>22180029</v>
      </c>
      <c r="F15" s="64"/>
      <c r="G15" s="66" t="s">
        <v>54</v>
      </c>
      <c r="H15" s="64"/>
      <c r="I15" s="63">
        <f>SUM(I9:I14)</f>
        <v>82326179</v>
      </c>
      <c r="J15" s="35"/>
      <c r="K15" s="34" t="s">
        <v>54</v>
      </c>
      <c r="L15" s="13"/>
      <c r="M15" s="13"/>
      <c r="O15" s="40"/>
    </row>
    <row r="16" spans="1:19" s="5" customFormat="1" ht="21" thickTop="1" x14ac:dyDescent="0.5">
      <c r="O16" s="40"/>
    </row>
    <row r="17" s="5" customFormat="1" ht="20.25" x14ac:dyDescent="0.5"/>
  </sheetData>
  <customSheetViews>
    <customSheetView guid="{9B1DBD13-10C2-4EFD-B3C9-81858DAEB6DD}" showPageBreaks="1" printArea="1">
      <selection activeCell="E9" sqref="E9"/>
      <pageMargins left="0.7" right="0.7" top="0.75" bottom="0.75" header="0.3" footer="0.3"/>
      <pageSetup scale="93" orientation="portrait" r:id="rId1"/>
    </customSheetView>
    <customSheetView guid="{0FB03AA2-1E4C-49B5-A51E-AA30FB031C6E}">
      <selection activeCell="E9" sqref="E9"/>
      <pageMargins left="0.7" right="0.7" top="0.75" bottom="0.75" header="0.3" footer="0.3"/>
      <pageSetup scale="93" orientation="portrait" r:id="rId2"/>
    </customSheetView>
  </customSheetViews>
  <mergeCells count="7">
    <mergeCell ref="A7:C7"/>
    <mergeCell ref="A5:L5"/>
    <mergeCell ref="A1:K1"/>
    <mergeCell ref="A2:K2"/>
    <mergeCell ref="A3:K3"/>
    <mergeCell ref="I7:K7"/>
    <mergeCell ref="E7:G7"/>
  </mergeCells>
  <pageMargins left="0.7" right="0.7" top="0.75" bottom="0.75" header="0.3" footer="0.3"/>
  <pageSetup scale="80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14"/>
  <sheetViews>
    <sheetView rightToLeft="1" view="pageBreakPreview" zoomScaleNormal="100" zoomScaleSheetLayoutView="100" workbookViewId="0">
      <selection activeCell="H19" sqref="H19"/>
    </sheetView>
  </sheetViews>
  <sheetFormatPr defaultRowHeight="15" x14ac:dyDescent="0.25"/>
  <cols>
    <col min="1" max="1" width="35.28515625" customWidth="1"/>
    <col min="2" max="2" width="17.85546875" customWidth="1"/>
    <col min="3" max="3" width="0.42578125" customWidth="1"/>
    <col min="4" max="4" width="13.140625" customWidth="1"/>
    <col min="5" max="5" width="0.5703125" customWidth="1"/>
    <col min="6" max="6" width="14.28515625" customWidth="1"/>
    <col min="7" max="7" width="0.5703125" customWidth="1"/>
    <col min="8" max="8" width="13.140625" customWidth="1"/>
    <col min="9" max="9" width="0.85546875" customWidth="1"/>
    <col min="10" max="10" width="11.85546875" customWidth="1"/>
    <col min="11" max="11" width="0.7109375" customWidth="1"/>
    <col min="12" max="12" width="13.140625" customWidth="1"/>
    <col min="13" max="13" width="0.7109375" customWidth="1"/>
    <col min="14" max="14" width="13.7109375" bestFit="1" customWidth="1"/>
    <col min="15" max="15" width="0.5703125" customWidth="1"/>
    <col min="16" max="16" width="11" customWidth="1"/>
    <col min="17" max="17" width="0.5703125" customWidth="1"/>
    <col min="18" max="18" width="13.7109375" customWidth="1"/>
    <col min="24" max="24" width="11.28515625" bestFit="1" customWidth="1"/>
  </cols>
  <sheetData>
    <row r="1" spans="1:24" ht="21.75" x14ac:dyDescent="0.25">
      <c r="A1" s="310" t="s">
        <v>51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"/>
    </row>
    <row r="2" spans="1:24" ht="21.75" x14ac:dyDescent="0.25">
      <c r="A2" s="310" t="s">
        <v>48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"/>
    </row>
    <row r="3" spans="1:24" ht="21.75" x14ac:dyDescent="0.25">
      <c r="A3" s="310" t="str">
        <f>' سهام'!A3:Y3</f>
        <v>برای ماه منتهی به 31 خرداد 1402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"/>
    </row>
    <row r="4" spans="1:24" ht="25.5" x14ac:dyDescent="0.25">
      <c r="A4" s="273" t="s">
        <v>70</v>
      </c>
      <c r="B4" s="273"/>
      <c r="C4" s="273"/>
      <c r="D4" s="273"/>
      <c r="E4" s="273"/>
      <c r="F4" s="273"/>
      <c r="G4" s="273"/>
      <c r="H4" s="273"/>
      <c r="I4" s="3"/>
    </row>
    <row r="5" spans="1:24" s="23" customFormat="1" ht="33" customHeight="1" x14ac:dyDescent="0.5">
      <c r="A5" s="22"/>
      <c r="B5" s="328"/>
      <c r="C5" s="328"/>
      <c r="D5" s="328"/>
      <c r="E5" s="328"/>
      <c r="F5" s="328"/>
      <c r="G5" s="5"/>
      <c r="H5" s="314" t="s">
        <v>169</v>
      </c>
      <c r="I5" s="314"/>
      <c r="J5" s="314"/>
      <c r="K5" s="314"/>
      <c r="L5" s="314"/>
      <c r="M5" s="5"/>
      <c r="N5" s="314" t="s">
        <v>170</v>
      </c>
      <c r="O5" s="314"/>
      <c r="P5" s="314"/>
      <c r="Q5" s="314"/>
      <c r="R5" s="314"/>
    </row>
    <row r="6" spans="1:24" s="45" customFormat="1" ht="41.25" customHeight="1" x14ac:dyDescent="0.55000000000000004">
      <c r="A6" s="30" t="s">
        <v>34</v>
      </c>
      <c r="B6" s="140" t="s">
        <v>37</v>
      </c>
      <c r="C6" s="64"/>
      <c r="D6" s="140" t="s">
        <v>22</v>
      </c>
      <c r="E6" s="64"/>
      <c r="F6" s="140" t="s">
        <v>31</v>
      </c>
      <c r="G6" s="64"/>
      <c r="H6" s="140" t="s">
        <v>49</v>
      </c>
      <c r="I6" s="64"/>
      <c r="J6" s="140" t="s">
        <v>36</v>
      </c>
      <c r="K6" s="64"/>
      <c r="L6" s="140" t="s">
        <v>38</v>
      </c>
      <c r="M6" s="44"/>
      <c r="N6" s="140" t="s">
        <v>49</v>
      </c>
      <c r="O6" s="64"/>
      <c r="P6" s="140" t="s">
        <v>36</v>
      </c>
      <c r="Q6" s="64"/>
      <c r="R6" s="140" t="s">
        <v>38</v>
      </c>
    </row>
    <row r="7" spans="1:24" s="23" customFormat="1" ht="32.1" customHeight="1" x14ac:dyDescent="0.3">
      <c r="A7" s="35" t="s">
        <v>56</v>
      </c>
      <c r="B7" s="11" t="s">
        <v>88</v>
      </c>
      <c r="C7" s="35"/>
      <c r="D7" s="35" t="s">
        <v>58</v>
      </c>
      <c r="E7" s="35"/>
      <c r="F7" s="38">
        <v>0.1</v>
      </c>
      <c r="G7" s="35"/>
      <c r="H7" s="142">
        <f>'درآمد سپرده بانکی'!E9</f>
        <v>10877527</v>
      </c>
      <c r="I7" s="35"/>
      <c r="J7" s="35" t="s">
        <v>54</v>
      </c>
      <c r="K7" s="35"/>
      <c r="L7" s="141">
        <f t="shared" ref="L7:L12" si="0">H7</f>
        <v>10877527</v>
      </c>
      <c r="M7" s="21"/>
      <c r="N7" s="141">
        <f>'درآمد سپرده بانکی'!I9</f>
        <v>32947600</v>
      </c>
      <c r="O7" s="35"/>
      <c r="P7" s="35" t="s">
        <v>54</v>
      </c>
      <c r="Q7" s="35"/>
      <c r="R7" s="141">
        <f t="shared" ref="R7:R12" si="1">N7</f>
        <v>32947600</v>
      </c>
    </row>
    <row r="8" spans="1:24" s="23" customFormat="1" ht="32.1" customHeight="1" x14ac:dyDescent="0.3">
      <c r="A8" s="35" t="s">
        <v>82</v>
      </c>
      <c r="B8" s="11" t="s">
        <v>93</v>
      </c>
      <c r="C8" s="35"/>
      <c r="D8" s="35" t="s">
        <v>58</v>
      </c>
      <c r="E8" s="35"/>
      <c r="F8" s="38">
        <v>0.1</v>
      </c>
      <c r="G8" s="35"/>
      <c r="H8" s="142">
        <f>'درآمد سپرده بانکی'!E10</f>
        <v>1496967</v>
      </c>
      <c r="I8" s="35"/>
      <c r="J8" s="35" t="s">
        <v>54</v>
      </c>
      <c r="K8" s="35"/>
      <c r="L8" s="141">
        <f t="shared" si="0"/>
        <v>1496967</v>
      </c>
      <c r="M8" s="21"/>
      <c r="N8" s="141">
        <f>'درآمد سپرده بانکی'!I10</f>
        <v>5472057</v>
      </c>
      <c r="O8" s="35"/>
      <c r="P8" s="35" t="s">
        <v>54</v>
      </c>
      <c r="Q8" s="35"/>
      <c r="R8" s="141">
        <f t="shared" si="1"/>
        <v>5472057</v>
      </c>
    </row>
    <row r="9" spans="1:24" s="23" customFormat="1" ht="32.1" customHeight="1" x14ac:dyDescent="0.3">
      <c r="A9" s="35" t="s">
        <v>83</v>
      </c>
      <c r="B9" s="11" t="s">
        <v>92</v>
      </c>
      <c r="C9" s="35"/>
      <c r="D9" s="35" t="s">
        <v>58</v>
      </c>
      <c r="E9" s="35"/>
      <c r="F9" s="38">
        <v>0.1</v>
      </c>
      <c r="G9" s="35"/>
      <c r="H9" s="142">
        <f>'درآمد سپرده بانکی'!E11</f>
        <v>1661269</v>
      </c>
      <c r="I9" s="35"/>
      <c r="J9" s="35" t="s">
        <v>54</v>
      </c>
      <c r="K9" s="35"/>
      <c r="L9" s="141">
        <f t="shared" si="0"/>
        <v>1661269</v>
      </c>
      <c r="M9" s="21"/>
      <c r="N9" s="141">
        <f>'درآمد سپرده بانکی'!I11</f>
        <v>13025678</v>
      </c>
      <c r="O9" s="35"/>
      <c r="P9" s="35" t="s">
        <v>54</v>
      </c>
      <c r="Q9" s="35"/>
      <c r="R9" s="141">
        <f t="shared" si="1"/>
        <v>13025678</v>
      </c>
    </row>
    <row r="10" spans="1:24" s="23" customFormat="1" ht="32.1" customHeight="1" x14ac:dyDescent="0.3">
      <c r="A10" s="35" t="s">
        <v>57</v>
      </c>
      <c r="B10" s="37" t="s">
        <v>91</v>
      </c>
      <c r="C10" s="21"/>
      <c r="D10" s="33" t="s">
        <v>58</v>
      </c>
      <c r="E10" s="21"/>
      <c r="F10" s="39">
        <v>0.1</v>
      </c>
      <c r="G10" s="21"/>
      <c r="H10" s="142">
        <f>'درآمد سپرده بانکی'!E12</f>
        <v>1218582</v>
      </c>
      <c r="I10" s="21"/>
      <c r="J10" s="35" t="s">
        <v>54</v>
      </c>
      <c r="K10" s="21"/>
      <c r="L10" s="141">
        <f t="shared" si="0"/>
        <v>1218582</v>
      </c>
      <c r="M10" s="21"/>
      <c r="N10" s="142">
        <f>'درآمد سپرده بانکی'!I12</f>
        <v>9486906</v>
      </c>
      <c r="O10" s="21"/>
      <c r="P10" s="35" t="s">
        <v>54</v>
      </c>
      <c r="Q10" s="21"/>
      <c r="R10" s="141">
        <f t="shared" si="1"/>
        <v>9486906</v>
      </c>
      <c r="U10" s="326"/>
      <c r="V10" s="326"/>
      <c r="W10" s="326"/>
    </row>
    <row r="11" spans="1:24" s="23" customFormat="1" ht="32.1" customHeight="1" x14ac:dyDescent="0.3">
      <c r="A11" s="35" t="s">
        <v>75</v>
      </c>
      <c r="B11" s="37" t="s">
        <v>89</v>
      </c>
      <c r="C11" s="21"/>
      <c r="D11" s="33" t="s">
        <v>58</v>
      </c>
      <c r="E11" s="21"/>
      <c r="F11" s="39">
        <v>0.1</v>
      </c>
      <c r="G11" s="21"/>
      <c r="H11" s="142">
        <f>'درآمد سپرده بانکی'!E13</f>
        <v>1957220</v>
      </c>
      <c r="I11" s="21"/>
      <c r="J11" s="35" t="s">
        <v>54</v>
      </c>
      <c r="K11" s="21"/>
      <c r="L11" s="141">
        <f t="shared" si="0"/>
        <v>1957220</v>
      </c>
      <c r="M11" s="21"/>
      <c r="N11" s="142">
        <f>'درآمد سپرده بانکی'!I13</f>
        <v>6868070</v>
      </c>
      <c r="O11" s="21"/>
      <c r="P11" s="35" t="s">
        <v>54</v>
      </c>
      <c r="Q11" s="21"/>
      <c r="R11" s="141">
        <f t="shared" si="1"/>
        <v>6868070</v>
      </c>
      <c r="U11" s="127"/>
      <c r="V11" s="127"/>
      <c r="W11" s="127"/>
    </row>
    <row r="12" spans="1:24" s="23" customFormat="1" ht="32.1" customHeight="1" x14ac:dyDescent="0.3">
      <c r="A12" s="35" t="s">
        <v>90</v>
      </c>
      <c r="B12" s="37" t="s">
        <v>94</v>
      </c>
      <c r="C12" s="21"/>
      <c r="D12" s="33" t="s">
        <v>58</v>
      </c>
      <c r="E12" s="21"/>
      <c r="F12" s="39">
        <v>0.1</v>
      </c>
      <c r="G12" s="21"/>
      <c r="H12" s="146">
        <f>'درآمد سپرده بانکی'!E14</f>
        <v>4968464</v>
      </c>
      <c r="I12" s="21"/>
      <c r="J12" s="145" t="s">
        <v>54</v>
      </c>
      <c r="K12" s="21"/>
      <c r="L12" s="143">
        <f t="shared" si="0"/>
        <v>4968464</v>
      </c>
      <c r="M12" s="21"/>
      <c r="N12" s="146">
        <f>'درآمد سپرده بانکی'!I14</f>
        <v>14525868</v>
      </c>
      <c r="O12" s="21"/>
      <c r="P12" s="145" t="s">
        <v>54</v>
      </c>
      <c r="Q12" s="21"/>
      <c r="R12" s="143">
        <f t="shared" si="1"/>
        <v>14525868</v>
      </c>
      <c r="U12" s="127"/>
      <c r="V12" s="127"/>
      <c r="W12" s="127"/>
      <c r="X12" s="182"/>
    </row>
    <row r="13" spans="1:24" s="45" customFormat="1" ht="30" customHeight="1" thickBot="1" x14ac:dyDescent="0.35">
      <c r="A13" s="65" t="s">
        <v>2</v>
      </c>
      <c r="B13" s="65"/>
      <c r="C13" s="65"/>
      <c r="D13" s="65"/>
      <c r="E13" s="65"/>
      <c r="F13" s="65"/>
      <c r="G13" s="65"/>
      <c r="H13" s="63">
        <f>SUM(H7:H12)</f>
        <v>22180029</v>
      </c>
      <c r="I13" s="30"/>
      <c r="J13" s="66">
        <f>SUM(J7:J10)</f>
        <v>0</v>
      </c>
      <c r="K13" s="30"/>
      <c r="L13" s="63">
        <f>SUM(L7:L12)</f>
        <v>22180029</v>
      </c>
      <c r="M13" s="30"/>
      <c r="N13" s="63">
        <f>SUM(N7:N12)</f>
        <v>82326179</v>
      </c>
      <c r="O13" s="30"/>
      <c r="P13" s="66">
        <f>SUM(P7:P10)</f>
        <v>0</v>
      </c>
      <c r="Q13" s="30"/>
      <c r="R13" s="63">
        <f>SUM(R7:R12)</f>
        <v>82326179</v>
      </c>
      <c r="U13" s="327"/>
      <c r="V13" s="327"/>
      <c r="W13" s="327"/>
      <c r="X13" s="111"/>
    </row>
    <row r="14" spans="1:24" s="23" customFormat="1" ht="30" customHeight="1" thickTop="1" x14ac:dyDescent="0.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</sheetData>
  <customSheetViews>
    <customSheetView guid="{9B1DBD13-10C2-4EFD-B3C9-81858DAEB6DD}" showPageBreaks="1" printArea="1">
      <selection activeCell="L8" sqref="L8"/>
      <pageMargins left="0.7" right="0.7" top="0.75" bottom="0.75" header="0.3" footer="0.3"/>
      <pageSetup scale="88" orientation="landscape" r:id="rId1"/>
    </customSheetView>
    <customSheetView guid="{0FB03AA2-1E4C-49B5-A51E-AA30FB031C6E}">
      <selection activeCell="L8" sqref="L8"/>
      <pageMargins left="0.7" right="0.7" top="0.75" bottom="0.75" header="0.3" footer="0.3"/>
      <pageSetup scale="88" orientation="landscape" r:id="rId2"/>
    </customSheetView>
  </customSheetViews>
  <mergeCells count="9">
    <mergeCell ref="A1:R1"/>
    <mergeCell ref="A2:R2"/>
    <mergeCell ref="A3:R3"/>
    <mergeCell ref="U10:W10"/>
    <mergeCell ref="U13:W13"/>
    <mergeCell ref="A4:H4"/>
    <mergeCell ref="B5:F5"/>
    <mergeCell ref="H5:L5"/>
    <mergeCell ref="N5:R5"/>
  </mergeCells>
  <pageMargins left="0.7" right="0.7" top="0.75" bottom="0.75" header="0.3" footer="0.3"/>
  <pageSetup scale="75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0"/>
  <sheetViews>
    <sheetView rightToLeft="1" workbookViewId="0">
      <selection activeCell="D15" sqref="D15"/>
    </sheetView>
  </sheetViews>
  <sheetFormatPr defaultRowHeight="15" x14ac:dyDescent="0.25"/>
  <cols>
    <col min="1" max="1" width="19.85546875" customWidth="1"/>
    <col min="2" max="2" width="22.140625" customWidth="1"/>
    <col min="3" max="3" width="1" customWidth="1"/>
    <col min="4" max="4" width="34.140625" bestFit="1" customWidth="1"/>
  </cols>
  <sheetData>
    <row r="1" spans="1:4" ht="21.75" x14ac:dyDescent="0.25">
      <c r="A1" s="310" t="s">
        <v>51</v>
      </c>
      <c r="B1" s="310"/>
      <c r="C1" s="310"/>
      <c r="D1" s="310"/>
    </row>
    <row r="2" spans="1:4" ht="21.75" x14ac:dyDescent="0.25">
      <c r="A2" s="310" t="s">
        <v>48</v>
      </c>
      <c r="B2" s="310"/>
      <c r="C2" s="310"/>
      <c r="D2" s="310"/>
    </row>
    <row r="3" spans="1:4" ht="21.75" x14ac:dyDescent="0.25">
      <c r="A3" s="310" t="str">
        <f>' سهام'!A3:Y3</f>
        <v>برای ماه منتهی به 31 خرداد 1402</v>
      </c>
      <c r="B3" s="310"/>
      <c r="C3" s="310"/>
      <c r="D3" s="310"/>
    </row>
    <row r="4" spans="1:4" ht="21.75" x14ac:dyDescent="0.25">
      <c r="A4" s="254"/>
      <c r="B4" s="254"/>
      <c r="C4" s="254"/>
      <c r="D4" s="254"/>
    </row>
    <row r="5" spans="1:4" ht="25.5" x14ac:dyDescent="0.25">
      <c r="A5" s="273" t="s">
        <v>160</v>
      </c>
      <c r="B5" s="273"/>
      <c r="C5" s="273"/>
      <c r="D5" s="3"/>
    </row>
    <row r="6" spans="1:4" ht="54" customHeight="1" x14ac:dyDescent="0.5">
      <c r="A6" s="22"/>
      <c r="B6" s="255" t="s">
        <v>171</v>
      </c>
      <c r="C6" s="255"/>
      <c r="D6" s="255" t="s">
        <v>172</v>
      </c>
    </row>
    <row r="7" spans="1:4" ht="21.75" x14ac:dyDescent="0.25">
      <c r="A7" s="256" t="s">
        <v>34</v>
      </c>
      <c r="B7" s="260" t="s">
        <v>161</v>
      </c>
      <c r="C7" s="253"/>
      <c r="D7" s="253" t="s">
        <v>161</v>
      </c>
    </row>
    <row r="8" spans="1:4" ht="20.25" x14ac:dyDescent="0.25">
      <c r="A8" s="35" t="s">
        <v>159</v>
      </c>
      <c r="B8" s="261">
        <v>88912995</v>
      </c>
      <c r="C8" s="35"/>
      <c r="D8" s="261">
        <v>88912995</v>
      </c>
    </row>
    <row r="9" spans="1:4" ht="22.5" thickBot="1" x14ac:dyDescent="0.3">
      <c r="A9" s="65" t="s">
        <v>2</v>
      </c>
      <c r="B9" s="262">
        <f>B8</f>
        <v>88912995</v>
      </c>
      <c r="C9" s="65"/>
      <c r="D9" s="263">
        <f>D8</f>
        <v>88912995</v>
      </c>
    </row>
    <row r="10" spans="1:4" ht="15.75" thickTop="1" x14ac:dyDescent="0.25"/>
  </sheetData>
  <mergeCells count="4">
    <mergeCell ref="A1:D1"/>
    <mergeCell ref="A2:D2"/>
    <mergeCell ref="A3:D3"/>
    <mergeCell ref="A5:C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37"/>
  <sheetViews>
    <sheetView rightToLeft="1" view="pageBreakPreview" topLeftCell="A13" zoomScale="80" zoomScaleNormal="100" zoomScaleSheetLayoutView="80" workbookViewId="0">
      <selection activeCell="AA10" sqref="AA10"/>
    </sheetView>
  </sheetViews>
  <sheetFormatPr defaultRowHeight="15.75" x14ac:dyDescent="0.4"/>
  <cols>
    <col min="1" max="1" width="19.28515625" style="1" customWidth="1"/>
    <col min="2" max="2" width="0.42578125" style="1" customWidth="1"/>
    <col min="3" max="3" width="14.85546875" style="1" bestFit="1" customWidth="1"/>
    <col min="4" max="4" width="0.85546875" style="1" customWidth="1"/>
    <col min="5" max="5" width="19.7109375" style="1" bestFit="1" customWidth="1"/>
    <col min="6" max="6" width="0.7109375" style="1" customWidth="1"/>
    <col min="7" max="7" width="20" style="1" customWidth="1"/>
    <col min="8" max="8" width="0.5703125" style="1" customWidth="1"/>
    <col min="9" max="9" width="12.5703125" style="1" bestFit="1" customWidth="1"/>
    <col min="10" max="10" width="0.7109375" style="1" customWidth="1"/>
    <col min="11" max="11" width="18.85546875" style="1" customWidth="1"/>
    <col min="12" max="12" width="0.5703125" style="1" customWidth="1"/>
    <col min="13" max="13" width="17.5703125" style="1" bestFit="1" customWidth="1"/>
    <col min="14" max="14" width="0.7109375" style="1" customWidth="1"/>
    <col min="15" max="15" width="18.42578125" style="1" bestFit="1" customWidth="1"/>
    <col min="16" max="16" width="0.5703125" style="1" customWidth="1"/>
    <col min="17" max="17" width="13.7109375" style="1" bestFit="1" customWidth="1"/>
    <col min="18" max="18" width="0.42578125" style="1" customWidth="1"/>
    <col min="19" max="19" width="10.85546875" style="1" customWidth="1"/>
    <col min="20" max="20" width="0.5703125" style="1" customWidth="1"/>
    <col min="21" max="21" width="20.5703125" style="1" customWidth="1"/>
    <col min="22" max="22" width="0.42578125" style="1" customWidth="1"/>
    <col min="23" max="23" width="20.140625" style="1" bestFit="1" customWidth="1"/>
    <col min="24" max="24" width="0.7109375" style="1" customWidth="1"/>
    <col min="25" max="25" width="19.42578125" style="1" bestFit="1" customWidth="1"/>
    <col min="26" max="26" width="9.140625" style="1"/>
    <col min="27" max="27" width="20.7109375" style="70" bestFit="1" customWidth="1"/>
    <col min="28" max="28" width="9.140625" style="70"/>
    <col min="29" max="29" width="9.28515625" style="70" bestFit="1" customWidth="1"/>
    <col min="30" max="30" width="9.140625" style="70"/>
    <col min="31" max="31" width="17.28515625" style="70" bestFit="1" customWidth="1"/>
    <col min="32" max="32" width="9.140625" style="70"/>
    <col min="33" max="33" width="21.85546875" style="70" bestFit="1" customWidth="1"/>
    <col min="34" max="16384" width="9.140625" style="1"/>
  </cols>
  <sheetData>
    <row r="1" spans="1:33" ht="21.75" x14ac:dyDescent="0.55000000000000004">
      <c r="A1" s="279" t="s">
        <v>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</row>
    <row r="2" spans="1:33" ht="21.75" x14ac:dyDescent="0.55000000000000004">
      <c r="A2" s="279" t="s">
        <v>45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</row>
    <row r="3" spans="1:33" ht="21.75" x14ac:dyDescent="0.55000000000000004">
      <c r="A3" s="279" t="s">
        <v>162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</row>
    <row r="4" spans="1:33" ht="25.5" x14ac:dyDescent="0.4">
      <c r="A4" s="273" t="s">
        <v>25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</row>
    <row r="5" spans="1:33" ht="25.5" x14ac:dyDescent="0.4">
      <c r="A5" s="273" t="s">
        <v>26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</row>
    <row r="6" spans="1:33" s="5" customFormat="1" ht="20.25" x14ac:dyDescent="0.5">
      <c r="AA6" s="36"/>
      <c r="AB6" s="36"/>
      <c r="AC6" s="36"/>
      <c r="AD6" s="36"/>
      <c r="AE6" s="36"/>
      <c r="AF6" s="36"/>
      <c r="AG6" s="36"/>
    </row>
    <row r="7" spans="1:33" s="5" customFormat="1" ht="35.25" customHeight="1" thickBot="1" x14ac:dyDescent="0.55000000000000004">
      <c r="A7" s="6"/>
      <c r="B7" s="7"/>
      <c r="C7" s="275" t="s">
        <v>158</v>
      </c>
      <c r="D7" s="275"/>
      <c r="E7" s="275"/>
      <c r="F7" s="275"/>
      <c r="G7" s="275"/>
      <c r="H7" s="7"/>
      <c r="I7" s="274" t="s">
        <v>7</v>
      </c>
      <c r="J7" s="274"/>
      <c r="K7" s="274"/>
      <c r="L7" s="274"/>
      <c r="M7" s="274"/>
      <c r="N7" s="274"/>
      <c r="O7" s="274"/>
      <c r="Q7" s="275" t="s">
        <v>164</v>
      </c>
      <c r="R7" s="275"/>
      <c r="S7" s="275"/>
      <c r="T7" s="275"/>
      <c r="U7" s="275"/>
      <c r="V7" s="275"/>
      <c r="W7" s="275"/>
      <c r="X7" s="275"/>
      <c r="Y7" s="275"/>
      <c r="AA7" s="36"/>
      <c r="AB7" s="36"/>
      <c r="AC7" s="36"/>
      <c r="AD7" s="36"/>
      <c r="AE7" s="36"/>
      <c r="AF7" s="36"/>
      <c r="AG7" s="36"/>
    </row>
    <row r="8" spans="1:33" s="44" customFormat="1" ht="38.25" customHeight="1" x14ac:dyDescent="0.55000000000000004">
      <c r="A8" s="280" t="s">
        <v>1</v>
      </c>
      <c r="B8" s="7"/>
      <c r="C8" s="283" t="s">
        <v>3</v>
      </c>
      <c r="D8" s="277"/>
      <c r="E8" s="283" t="s">
        <v>0</v>
      </c>
      <c r="F8" s="277"/>
      <c r="G8" s="277" t="s">
        <v>20</v>
      </c>
      <c r="H8" s="28"/>
      <c r="I8" s="278" t="s">
        <v>4</v>
      </c>
      <c r="J8" s="278"/>
      <c r="K8" s="278"/>
      <c r="L8" s="107"/>
      <c r="M8" s="278" t="s">
        <v>5</v>
      </c>
      <c r="N8" s="278"/>
      <c r="O8" s="278"/>
      <c r="P8" s="50"/>
      <c r="Q8" s="283" t="s">
        <v>3</v>
      </c>
      <c r="R8" s="277"/>
      <c r="S8" s="277" t="s">
        <v>29</v>
      </c>
      <c r="T8" s="6"/>
      <c r="U8" s="281" t="s">
        <v>0</v>
      </c>
      <c r="V8" s="277"/>
      <c r="W8" s="277" t="s">
        <v>20</v>
      </c>
      <c r="X8" s="28"/>
      <c r="Y8" s="277" t="s">
        <v>23</v>
      </c>
      <c r="AA8" s="60"/>
      <c r="AB8" s="60"/>
      <c r="AC8" s="60"/>
      <c r="AD8" s="60"/>
      <c r="AE8" s="60"/>
      <c r="AF8" s="60"/>
      <c r="AG8" s="60"/>
    </row>
    <row r="9" spans="1:33" s="44" customFormat="1" ht="44.25" customHeight="1" thickBot="1" x14ac:dyDescent="0.6">
      <c r="A9" s="275"/>
      <c r="B9" s="7"/>
      <c r="C9" s="284"/>
      <c r="D9" s="280"/>
      <c r="E9" s="284"/>
      <c r="F9" s="280"/>
      <c r="G9" s="275"/>
      <c r="H9" s="28"/>
      <c r="I9" s="29" t="s">
        <v>3</v>
      </c>
      <c r="J9" s="30"/>
      <c r="K9" s="29" t="s">
        <v>0</v>
      </c>
      <c r="L9" s="30"/>
      <c r="M9" s="29" t="s">
        <v>3</v>
      </c>
      <c r="N9" s="30"/>
      <c r="O9" s="29" t="s">
        <v>44</v>
      </c>
      <c r="P9" s="50"/>
      <c r="Q9" s="284"/>
      <c r="R9" s="280"/>
      <c r="S9" s="275"/>
      <c r="T9" s="6"/>
      <c r="U9" s="282"/>
      <c r="V9" s="280"/>
      <c r="W9" s="275"/>
      <c r="X9" s="28"/>
      <c r="Y9" s="275"/>
      <c r="AA9" s="60"/>
      <c r="AB9" s="60"/>
      <c r="AC9" s="60"/>
      <c r="AD9" s="60"/>
      <c r="AE9" s="60"/>
      <c r="AF9" s="60"/>
      <c r="AG9" s="60"/>
    </row>
    <row r="10" spans="1:33" s="22" customFormat="1" ht="39.950000000000003" customHeight="1" x14ac:dyDescent="0.5">
      <c r="A10" s="10" t="s">
        <v>52</v>
      </c>
      <c r="B10" s="9"/>
      <c r="C10" s="183">
        <v>926292</v>
      </c>
      <c r="D10" s="183"/>
      <c r="E10" s="183">
        <v>48767002439</v>
      </c>
      <c r="F10" s="184"/>
      <c r="G10" s="183">
        <v>49889194175</v>
      </c>
      <c r="H10" s="185"/>
      <c r="I10" s="183">
        <v>414071</v>
      </c>
      <c r="J10" s="183"/>
      <c r="K10" s="183">
        <v>21840922356</v>
      </c>
      <c r="L10" s="183"/>
      <c r="M10" s="186">
        <v>299062</v>
      </c>
      <c r="N10" s="183"/>
      <c r="O10" s="201">
        <v>16388759357</v>
      </c>
      <c r="P10" s="183"/>
      <c r="Q10" s="183">
        <f>C10+I10-M10</f>
        <v>1041301</v>
      </c>
      <c r="R10" s="183"/>
      <c r="S10" s="183">
        <v>50650</v>
      </c>
      <c r="T10" s="183"/>
      <c r="U10" s="183">
        <v>54835371286</v>
      </c>
      <c r="V10" s="183"/>
      <c r="W10" s="183">
        <f t="shared" ref="W10:W16" si="0">((Q10*S10)-(Q10*S10*0.00076))</f>
        <v>52701811809.306</v>
      </c>
      <c r="X10" s="183"/>
      <c r="Y10" s="187">
        <f>W10/$AA$12</f>
        <v>2.1640255533167028E-2</v>
      </c>
      <c r="AA10" s="188">
        <v>2435359958136</v>
      </c>
      <c r="AB10" s="183"/>
      <c r="AC10" s="183"/>
      <c r="AD10" s="183"/>
      <c r="AE10" s="183"/>
      <c r="AF10" s="183"/>
      <c r="AG10" s="183"/>
    </row>
    <row r="11" spans="1:33" s="22" customFormat="1" ht="39.950000000000003" customHeight="1" x14ac:dyDescent="0.5">
      <c r="A11" s="10" t="s">
        <v>53</v>
      </c>
      <c r="B11" s="9"/>
      <c r="C11" s="183">
        <v>38061032</v>
      </c>
      <c r="D11" s="183"/>
      <c r="E11" s="183">
        <v>732250895112</v>
      </c>
      <c r="F11" s="184"/>
      <c r="G11" s="183">
        <v>838607928826</v>
      </c>
      <c r="H11" s="234">
        <f>'درآمد سپرده بانکی'!E13</f>
        <v>1957220</v>
      </c>
      <c r="I11" s="183">
        <v>13479370</v>
      </c>
      <c r="J11" s="183"/>
      <c r="K11" s="183">
        <v>285749375308</v>
      </c>
      <c r="L11" s="183"/>
      <c r="M11" s="186">
        <v>7242408</v>
      </c>
      <c r="N11" s="183"/>
      <c r="O11" s="201">
        <v>154822870786</v>
      </c>
      <c r="P11" s="183"/>
      <c r="Q11" s="183">
        <f>C11+I11-M11</f>
        <v>44297994</v>
      </c>
      <c r="R11" s="183"/>
      <c r="S11" s="183">
        <v>21650</v>
      </c>
      <c r="T11" s="183"/>
      <c r="U11" s="183">
        <v>875262347773</v>
      </c>
      <c r="V11" s="183"/>
      <c r="W11" s="183">
        <f t="shared" si="0"/>
        <v>958322690906.724</v>
      </c>
      <c r="X11" s="183"/>
      <c r="Y11" s="187">
        <f t="shared" ref="Y11:Y21" si="1">W11/$AA$12</f>
        <v>0.39350350969891718</v>
      </c>
      <c r="AA11" s="114"/>
      <c r="AB11" s="183"/>
      <c r="AC11" s="183"/>
      <c r="AD11" s="183"/>
      <c r="AE11" s="183"/>
      <c r="AF11" s="183"/>
      <c r="AG11" s="183"/>
    </row>
    <row r="12" spans="1:33" s="22" customFormat="1" ht="39.950000000000003" customHeight="1" x14ac:dyDescent="0.5">
      <c r="A12" s="10" t="s">
        <v>72</v>
      </c>
      <c r="B12" s="9"/>
      <c r="C12" s="183">
        <v>23088169</v>
      </c>
      <c r="D12" s="183"/>
      <c r="E12" s="183">
        <v>352423577863</v>
      </c>
      <c r="F12" s="184"/>
      <c r="G12" s="183">
        <v>495095547939</v>
      </c>
      <c r="H12" s="185"/>
      <c r="I12" s="183">
        <v>2000610</v>
      </c>
      <c r="J12" s="183"/>
      <c r="K12" s="183">
        <v>39189534440</v>
      </c>
      <c r="L12" s="183"/>
      <c r="M12" s="186">
        <v>885162</v>
      </c>
      <c r="N12" s="183"/>
      <c r="O12" s="201">
        <v>17650157080</v>
      </c>
      <c r="P12" s="183"/>
      <c r="Q12" s="183">
        <f>C12+I12-M12</f>
        <v>24203617</v>
      </c>
      <c r="R12" s="183"/>
      <c r="S12" s="183">
        <v>18080</v>
      </c>
      <c r="T12" s="183"/>
      <c r="U12" s="183">
        <v>377910882267</v>
      </c>
      <c r="V12" s="183"/>
      <c r="W12" s="183">
        <f t="shared" si="0"/>
        <v>437268818299.52643</v>
      </c>
      <c r="X12" s="183"/>
      <c r="Y12" s="187">
        <f t="shared" si="1"/>
        <v>0.17954997446628282</v>
      </c>
      <c r="AA12" s="114">
        <v>2435359958136</v>
      </c>
      <c r="AB12" s="183"/>
      <c r="AC12" s="183"/>
      <c r="AD12" s="183"/>
      <c r="AE12" s="183"/>
      <c r="AF12" s="183"/>
      <c r="AG12" s="183"/>
    </row>
    <row r="13" spans="1:33" s="22" customFormat="1" ht="39.950000000000003" customHeight="1" x14ac:dyDescent="0.5">
      <c r="A13" s="10" t="s">
        <v>77</v>
      </c>
      <c r="B13" s="9"/>
      <c r="C13" s="189">
        <v>15788773</v>
      </c>
      <c r="D13" s="190"/>
      <c r="E13" s="183">
        <v>265709093231</v>
      </c>
      <c r="F13" s="184"/>
      <c r="G13" s="189">
        <v>377064887427.22803</v>
      </c>
      <c r="H13" s="185"/>
      <c r="I13" s="183">
        <v>1283953</v>
      </c>
      <c r="J13" s="183"/>
      <c r="K13" s="183">
        <v>27681084768</v>
      </c>
      <c r="L13" s="183"/>
      <c r="M13" s="186">
        <v>780855</v>
      </c>
      <c r="N13" s="183"/>
      <c r="O13" s="201">
        <v>16870431209</v>
      </c>
      <c r="P13" s="183"/>
      <c r="Q13" s="183">
        <f t="shared" ref="Q13:Q21" si="2">C13+I13-M13</f>
        <v>16291871</v>
      </c>
      <c r="R13" s="183"/>
      <c r="S13" s="183">
        <v>20210</v>
      </c>
      <c r="T13" s="183"/>
      <c r="U13" s="183">
        <v>280051068341</v>
      </c>
      <c r="V13" s="183"/>
      <c r="W13" s="183">
        <f t="shared" si="0"/>
        <v>329008476288.18842</v>
      </c>
      <c r="X13" s="183"/>
      <c r="Y13" s="187">
        <f t="shared" si="1"/>
        <v>0.13509644649820399</v>
      </c>
      <c r="AA13" s="114"/>
      <c r="AB13" s="183"/>
      <c r="AC13" s="183"/>
      <c r="AD13" s="183"/>
      <c r="AE13" s="183"/>
      <c r="AF13" s="183"/>
      <c r="AG13" s="183"/>
    </row>
    <row r="14" spans="1:33" s="22" customFormat="1" ht="39.950000000000003" customHeight="1" x14ac:dyDescent="0.5">
      <c r="A14" s="10" t="s">
        <v>78</v>
      </c>
      <c r="B14" s="9"/>
      <c r="C14" s="189">
        <v>18339993</v>
      </c>
      <c r="D14" s="190"/>
      <c r="E14" s="183">
        <v>218227236488</v>
      </c>
      <c r="F14" s="184"/>
      <c r="G14" s="189">
        <v>276723424540</v>
      </c>
      <c r="H14" s="185"/>
      <c r="I14" s="183">
        <v>4256043</v>
      </c>
      <c r="J14" s="183"/>
      <c r="K14" s="183">
        <v>62322377696</v>
      </c>
      <c r="L14" s="183"/>
      <c r="M14" s="186">
        <v>1496995</v>
      </c>
      <c r="N14" s="183"/>
      <c r="O14" s="201">
        <v>22624338474</v>
      </c>
      <c r="P14" s="183"/>
      <c r="Q14" s="183">
        <f t="shared" si="2"/>
        <v>21099041</v>
      </c>
      <c r="R14" s="183">
        <v>7590</v>
      </c>
      <c r="S14" s="183">
        <v>14350</v>
      </c>
      <c r="T14" s="183"/>
      <c r="U14" s="183">
        <v>262479226623</v>
      </c>
      <c r="V14" s="183"/>
      <c r="W14" s="183">
        <f t="shared" si="0"/>
        <v>302541132208.854</v>
      </c>
      <c r="X14" s="183"/>
      <c r="Y14" s="187">
        <f t="shared" si="1"/>
        <v>0.12422850724720626</v>
      </c>
      <c r="AA14" s="114"/>
      <c r="AB14" s="183"/>
      <c r="AC14" s="183"/>
      <c r="AD14" s="183"/>
      <c r="AE14" s="183"/>
      <c r="AF14" s="183"/>
      <c r="AG14" s="183"/>
    </row>
    <row r="15" spans="1:33" s="22" customFormat="1" ht="39.950000000000003" customHeight="1" x14ac:dyDescent="0.5">
      <c r="A15" s="10" t="s">
        <v>95</v>
      </c>
      <c r="B15" s="9"/>
      <c r="C15" s="183">
        <v>2505868</v>
      </c>
      <c r="D15" s="183"/>
      <c r="E15" s="183">
        <v>75590918364</v>
      </c>
      <c r="F15" s="184"/>
      <c r="G15" s="183">
        <v>70987366368</v>
      </c>
      <c r="H15" s="185"/>
      <c r="I15" s="183">
        <v>15569567</v>
      </c>
      <c r="J15" s="183"/>
      <c r="K15" s="183">
        <v>94356900636</v>
      </c>
      <c r="L15" s="183"/>
      <c r="M15" s="186">
        <v>1663283</v>
      </c>
      <c r="N15" s="183"/>
      <c r="O15" s="201">
        <v>49542715104</v>
      </c>
      <c r="P15" s="183"/>
      <c r="Q15" s="183">
        <f t="shared" si="2"/>
        <v>16412152</v>
      </c>
      <c r="R15" s="183"/>
      <c r="S15" s="183">
        <v>6170</v>
      </c>
      <c r="T15" s="183"/>
      <c r="U15" s="183">
        <v>99720244712</v>
      </c>
      <c r="V15" s="183"/>
      <c r="W15" s="183">
        <f t="shared" si="0"/>
        <v>101186017976.8416</v>
      </c>
      <c r="X15" s="183"/>
      <c r="Y15" s="187">
        <f t="shared" si="1"/>
        <v>4.1548690836769916E-2</v>
      </c>
      <c r="AA15" s="114"/>
      <c r="AB15" s="183"/>
      <c r="AC15" s="183"/>
      <c r="AD15" s="183"/>
      <c r="AE15" s="183"/>
      <c r="AF15" s="183"/>
      <c r="AG15" s="183"/>
    </row>
    <row r="16" spans="1:33" s="22" customFormat="1" ht="39.950000000000003" customHeight="1" x14ac:dyDescent="0.5">
      <c r="A16" s="10" t="s">
        <v>163</v>
      </c>
      <c r="B16" s="9"/>
      <c r="C16" s="183">
        <v>0</v>
      </c>
      <c r="D16" s="183"/>
      <c r="E16" s="183">
        <v>0</v>
      </c>
      <c r="F16" s="184"/>
      <c r="G16" s="183">
        <v>0</v>
      </c>
      <c r="H16" s="185"/>
      <c r="I16" s="183">
        <v>4103038</v>
      </c>
      <c r="J16" s="183"/>
      <c r="K16" s="183">
        <v>0</v>
      </c>
      <c r="L16" s="183"/>
      <c r="M16" s="186">
        <v>0</v>
      </c>
      <c r="N16" s="183"/>
      <c r="O16" s="201">
        <v>0</v>
      </c>
      <c r="P16" s="183"/>
      <c r="Q16" s="183">
        <f t="shared" si="2"/>
        <v>4103038</v>
      </c>
      <c r="R16" s="183"/>
      <c r="S16" s="183">
        <v>5170</v>
      </c>
      <c r="T16" s="183"/>
      <c r="U16" s="183">
        <v>20822917850</v>
      </c>
      <c r="V16" s="183"/>
      <c r="W16" s="183">
        <f t="shared" si="0"/>
        <v>21196584803.090401</v>
      </c>
      <c r="X16" s="183"/>
      <c r="Y16" s="187">
        <f t="shared" si="1"/>
        <v>8.7036763219651737E-3</v>
      </c>
      <c r="AA16" s="114"/>
      <c r="AB16" s="183"/>
      <c r="AC16" s="183"/>
      <c r="AD16" s="183"/>
      <c r="AE16" s="183"/>
      <c r="AF16" s="183"/>
      <c r="AG16" s="183"/>
    </row>
    <row r="17" spans="1:33" s="22" customFormat="1" ht="39.950000000000003" customHeight="1" x14ac:dyDescent="0.5">
      <c r="A17" s="10" t="s">
        <v>97</v>
      </c>
      <c r="B17" s="9"/>
      <c r="C17" s="183">
        <v>448000</v>
      </c>
      <c r="D17" s="183"/>
      <c r="E17" s="183">
        <v>8957535215</v>
      </c>
      <c r="F17" s="184"/>
      <c r="G17" s="183">
        <v>9185413412</v>
      </c>
      <c r="H17" s="185"/>
      <c r="I17" s="183">
        <v>7375800</v>
      </c>
      <c r="J17" s="183"/>
      <c r="K17" s="183">
        <v>153609216085</v>
      </c>
      <c r="L17" s="183"/>
      <c r="M17" s="266">
        <v>3034300</v>
      </c>
      <c r="N17" s="183"/>
      <c r="O17" s="201">
        <v>62733998966</v>
      </c>
      <c r="P17" s="183"/>
      <c r="Q17" s="183">
        <f t="shared" si="2"/>
        <v>4789500</v>
      </c>
      <c r="R17" s="183"/>
      <c r="S17" s="183">
        <v>20959</v>
      </c>
      <c r="T17" s="183"/>
      <c r="U17" s="183">
        <v>100252622012</v>
      </c>
      <c r="V17" s="183"/>
      <c r="W17" s="201">
        <f>((Q17*S17)-(Q17*S17*0.0001875))</f>
        <v>100364308663.03125</v>
      </c>
      <c r="X17" s="183"/>
      <c r="Y17" s="187">
        <f t="shared" si="1"/>
        <v>4.1211283090918961E-2</v>
      </c>
      <c r="AA17" s="114"/>
      <c r="AB17" s="183"/>
      <c r="AC17" s="183"/>
      <c r="AD17" s="183"/>
      <c r="AE17" s="183"/>
      <c r="AF17" s="183"/>
      <c r="AG17" s="183"/>
    </row>
    <row r="18" spans="1:33" s="22" customFormat="1" ht="39.950000000000003" customHeight="1" x14ac:dyDescent="0.5">
      <c r="A18" s="10" t="s">
        <v>98</v>
      </c>
      <c r="B18" s="9"/>
      <c r="C18" s="183">
        <v>71645</v>
      </c>
      <c r="D18" s="183"/>
      <c r="E18" s="183">
        <v>3675320241</v>
      </c>
      <c r="F18" s="184"/>
      <c r="G18" s="183">
        <v>3938160266</v>
      </c>
      <c r="H18" s="185"/>
      <c r="I18" s="183">
        <v>78000</v>
      </c>
      <c r="J18" s="183"/>
      <c r="K18" s="183">
        <v>4306017223</v>
      </c>
      <c r="L18" s="183"/>
      <c r="M18" s="186">
        <v>149645</v>
      </c>
      <c r="N18" s="183"/>
      <c r="O18" s="201">
        <v>8280811047</v>
      </c>
      <c r="P18" s="183"/>
      <c r="Q18" s="183">
        <f>C18+I18-M18</f>
        <v>0</v>
      </c>
      <c r="R18" s="183"/>
      <c r="S18" s="183">
        <v>0</v>
      </c>
      <c r="T18" s="183"/>
      <c r="U18" s="183">
        <v>0</v>
      </c>
      <c r="V18" s="183"/>
      <c r="W18" s="183">
        <f>((Q18*S18)-(Q18*S18*0.0001875))</f>
        <v>0</v>
      </c>
      <c r="X18" s="183"/>
      <c r="Y18" s="187">
        <f t="shared" si="1"/>
        <v>0</v>
      </c>
      <c r="AA18" s="114"/>
      <c r="AB18" s="183"/>
      <c r="AC18" s="183"/>
      <c r="AD18" s="183"/>
      <c r="AE18" s="183"/>
      <c r="AF18" s="183"/>
      <c r="AG18" s="183"/>
    </row>
    <row r="19" spans="1:33" s="22" customFormat="1" ht="39.950000000000003" customHeight="1" x14ac:dyDescent="0.5">
      <c r="A19" s="10" t="s">
        <v>99</v>
      </c>
      <c r="B19" s="9"/>
      <c r="C19" s="183">
        <v>854800</v>
      </c>
      <c r="D19" s="183"/>
      <c r="E19" s="183">
        <v>11830606358</v>
      </c>
      <c r="F19" s="184"/>
      <c r="G19" s="183">
        <v>12324759474</v>
      </c>
      <c r="H19" s="185"/>
      <c r="I19" s="183">
        <v>0</v>
      </c>
      <c r="J19" s="183"/>
      <c r="K19" s="183">
        <v>0</v>
      </c>
      <c r="L19" s="183"/>
      <c r="M19" s="186">
        <v>854800</v>
      </c>
      <c r="N19" s="183"/>
      <c r="O19" s="201">
        <v>12378688376</v>
      </c>
      <c r="P19" s="183"/>
      <c r="Q19" s="183">
        <f t="shared" si="2"/>
        <v>0</v>
      </c>
      <c r="R19" s="183"/>
      <c r="S19" s="183">
        <v>0</v>
      </c>
      <c r="T19" s="183"/>
      <c r="U19" s="183">
        <v>0</v>
      </c>
      <c r="V19" s="183"/>
      <c r="W19" s="183">
        <f>((Q19*S19)-(Q19*S19*0.0001875))</f>
        <v>0</v>
      </c>
      <c r="X19" s="183"/>
      <c r="Y19" s="187">
        <f t="shared" si="1"/>
        <v>0</v>
      </c>
      <c r="AA19" s="114"/>
      <c r="AB19" s="183"/>
      <c r="AC19" s="183"/>
      <c r="AD19" s="183"/>
      <c r="AE19" s="183"/>
      <c r="AF19" s="183"/>
      <c r="AG19" s="183"/>
    </row>
    <row r="20" spans="1:33" s="22" customFormat="1" ht="39.950000000000003" customHeight="1" x14ac:dyDescent="0.5">
      <c r="A20" s="10" t="s">
        <v>103</v>
      </c>
      <c r="B20" s="9"/>
      <c r="C20" s="183">
        <v>657000</v>
      </c>
      <c r="D20" s="183"/>
      <c r="E20" s="183">
        <v>7365206479</v>
      </c>
      <c r="F20" s="184"/>
      <c r="G20" s="183">
        <v>7733410714</v>
      </c>
      <c r="H20" s="185"/>
      <c r="I20" s="183">
        <v>495000</v>
      </c>
      <c r="J20" s="183"/>
      <c r="K20" s="183">
        <v>5910057925</v>
      </c>
      <c r="L20" s="183"/>
      <c r="M20" s="186">
        <v>764560</v>
      </c>
      <c r="N20" s="183"/>
      <c r="O20" s="201">
        <v>9077836707</v>
      </c>
      <c r="P20" s="183"/>
      <c r="Q20" s="183">
        <f t="shared" si="2"/>
        <v>387440</v>
      </c>
      <c r="R20" s="183"/>
      <c r="S20" s="183">
        <v>12024</v>
      </c>
      <c r="T20" s="183"/>
      <c r="U20" s="183">
        <v>4588073389</v>
      </c>
      <c r="V20" s="183"/>
      <c r="W20" s="183">
        <f>((Q20*S20)-(Q20*S20*0.0001875))</f>
        <v>4657705076.5200005</v>
      </c>
      <c r="X20" s="183"/>
      <c r="Y20" s="187">
        <f t="shared" si="1"/>
        <v>1.9125325030329237E-3</v>
      </c>
      <c r="AA20" s="114"/>
      <c r="AB20" s="183"/>
      <c r="AC20" s="183"/>
      <c r="AD20" s="183"/>
      <c r="AE20" s="183"/>
      <c r="AF20" s="183"/>
      <c r="AG20" s="183"/>
    </row>
    <row r="21" spans="1:33" s="22" customFormat="1" ht="39.950000000000003" customHeight="1" thickBot="1" x14ac:dyDescent="0.55000000000000004">
      <c r="A21" s="224" t="s">
        <v>86</v>
      </c>
      <c r="B21" s="9"/>
      <c r="C21" s="183">
        <v>579100</v>
      </c>
      <c r="D21" s="183"/>
      <c r="E21" s="183">
        <v>7833168771</v>
      </c>
      <c r="F21" s="184"/>
      <c r="G21" s="183">
        <v>8237889906</v>
      </c>
      <c r="H21" s="185"/>
      <c r="I21" s="183">
        <v>700000</v>
      </c>
      <c r="J21" s="183"/>
      <c r="K21" s="183">
        <v>10028680024</v>
      </c>
      <c r="L21" s="183"/>
      <c r="M21" s="186">
        <v>1279100</v>
      </c>
      <c r="N21" s="183"/>
      <c r="O21" s="201">
        <v>18361190857</v>
      </c>
      <c r="P21" s="183"/>
      <c r="Q21" s="183">
        <f t="shared" si="2"/>
        <v>0</v>
      </c>
      <c r="R21" s="183"/>
      <c r="S21" s="183">
        <v>0</v>
      </c>
      <c r="T21" s="183"/>
      <c r="U21" s="183">
        <v>0</v>
      </c>
      <c r="V21" s="183"/>
      <c r="W21" s="183">
        <f>((Q21*S21)-(Q21*S21*0.0001875))</f>
        <v>0</v>
      </c>
      <c r="X21" s="183"/>
      <c r="Y21" s="187">
        <f t="shared" si="1"/>
        <v>0</v>
      </c>
      <c r="AA21" s="114"/>
      <c r="AB21" s="183"/>
      <c r="AC21" s="183"/>
      <c r="AD21" s="183"/>
      <c r="AE21" s="183"/>
      <c r="AF21" s="183"/>
      <c r="AG21" s="183"/>
    </row>
    <row r="22" spans="1:33" s="79" customFormat="1" ht="30" customHeight="1" thickBot="1" x14ac:dyDescent="0.6">
      <c r="A22" s="75" t="s">
        <v>2</v>
      </c>
      <c r="B22" s="75"/>
      <c r="C22" s="76">
        <f>SUM(C10:C21)</f>
        <v>101320672</v>
      </c>
      <c r="D22" s="77"/>
      <c r="E22" s="76">
        <f>SUM(E10:E21)</f>
        <v>1732630560561</v>
      </c>
      <c r="F22" s="77"/>
      <c r="G22" s="78">
        <f>SUM(G10:G21)</f>
        <v>2149787983047.228</v>
      </c>
      <c r="H22" s="77"/>
      <c r="I22" s="76">
        <f>SUM(I10:I21)</f>
        <v>49755452</v>
      </c>
      <c r="J22" s="80"/>
      <c r="K22" s="76">
        <f>SUM(K10:K21)</f>
        <v>704994166461</v>
      </c>
      <c r="L22" s="80"/>
      <c r="M22" s="121">
        <f>SUM(M10:M21)</f>
        <v>18450170</v>
      </c>
      <c r="N22" s="80"/>
      <c r="O22" s="76">
        <f>SUM(O10:O21)</f>
        <v>388731797963</v>
      </c>
      <c r="Q22" s="19">
        <f>SUM(Q10:Q21)</f>
        <v>132625954</v>
      </c>
      <c r="R22" s="6"/>
      <c r="S22" s="117"/>
      <c r="T22" s="6"/>
      <c r="U22" s="76">
        <f>SUM(U10:U21)</f>
        <v>2075922754253</v>
      </c>
      <c r="V22" s="6"/>
      <c r="W22" s="120">
        <f>SUM(W10:W21)</f>
        <v>2307247546032.082</v>
      </c>
      <c r="X22" s="77"/>
      <c r="Y22" s="134">
        <f>SUM(Y10:Y21)</f>
        <v>0.94739487619646423</v>
      </c>
      <c r="AA22" s="85"/>
      <c r="AB22" s="85"/>
      <c r="AC22" s="85"/>
      <c r="AD22" s="85"/>
      <c r="AE22" s="85"/>
      <c r="AF22" s="85"/>
      <c r="AG22" s="85"/>
    </row>
    <row r="23" spans="1:33" s="5" customFormat="1" ht="30" customHeight="1" thickTop="1" x14ac:dyDescent="0.5">
      <c r="U23" s="133"/>
      <c r="W23" s="36"/>
      <c r="AA23" s="36"/>
      <c r="AB23" s="36"/>
      <c r="AC23" s="36"/>
      <c r="AD23" s="36"/>
      <c r="AE23" s="36"/>
      <c r="AF23" s="36"/>
      <c r="AG23" s="36"/>
    </row>
    <row r="24" spans="1:33" x14ac:dyDescent="0.4">
      <c r="U24" s="70"/>
    </row>
    <row r="26" spans="1:33" x14ac:dyDescent="0.4">
      <c r="U26" s="70"/>
    </row>
    <row r="27" spans="1:33" ht="17.25" x14ac:dyDescent="0.4">
      <c r="Q27" s="72"/>
    </row>
    <row r="28" spans="1:33" x14ac:dyDescent="0.4">
      <c r="O28" s="73"/>
      <c r="P28" s="73"/>
      <c r="Q28" s="118"/>
      <c r="R28" s="119"/>
    </row>
    <row r="29" spans="1:33" ht="17.25" x14ac:dyDescent="0.4">
      <c r="O29" s="226"/>
      <c r="P29" s="73"/>
      <c r="Q29" s="72"/>
      <c r="S29" s="72"/>
      <c r="T29" s="119"/>
      <c r="U29" s="118"/>
      <c r="V29" s="118">
        <v>429019720</v>
      </c>
    </row>
    <row r="30" spans="1:33" ht="17.25" customHeight="1" x14ac:dyDescent="0.4">
      <c r="O30" s="276"/>
      <c r="P30" s="276"/>
      <c r="Q30" s="276"/>
      <c r="S30" s="72"/>
    </row>
    <row r="31" spans="1:33" ht="17.25" x14ac:dyDescent="0.4">
      <c r="O31" s="73"/>
      <c r="P31" s="73"/>
      <c r="Q31" s="70"/>
      <c r="S31" s="72"/>
    </row>
    <row r="32" spans="1:33" x14ac:dyDescent="0.4">
      <c r="G32" s="70"/>
      <c r="O32" s="73"/>
      <c r="P32" s="73"/>
      <c r="S32" s="70"/>
    </row>
    <row r="33" spans="11:17" x14ac:dyDescent="0.4">
      <c r="Q33" s="70"/>
    </row>
    <row r="37" spans="11:17" x14ac:dyDescent="0.4">
      <c r="K37" s="70"/>
    </row>
  </sheetData>
  <customSheetViews>
    <customSheetView guid="{9B1DBD13-10C2-4EFD-B3C9-81858DAEB6DD}" showPageBreaks="1" printArea="1">
      <selection activeCell="AA8" sqref="AA8:AA9"/>
      <pageMargins left="0.7" right="0.7" top="0.75" bottom="0.75" header="0.3" footer="0.3"/>
      <printOptions horizontalCentered="1"/>
      <pageSetup scale="58" orientation="landscape" r:id="rId1"/>
    </customSheetView>
    <customSheetView guid="{0FB03AA2-1E4C-49B5-A51E-AA30FB031C6E}">
      <selection activeCell="C12" sqref="C12"/>
      <pageMargins left="0.7" right="0.7" top="0.75" bottom="0.75" header="0.3" footer="0.3"/>
      <printOptions horizontalCentered="1"/>
      <pageSetup scale="58" orientation="landscape" r:id="rId2"/>
    </customSheetView>
  </customSheetViews>
  <mergeCells count="24">
    <mergeCell ref="A1:Y1"/>
    <mergeCell ref="A2:Y2"/>
    <mergeCell ref="A3:Y3"/>
    <mergeCell ref="A8:A9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G8:G9"/>
    <mergeCell ref="F8:F9"/>
    <mergeCell ref="Y8:Y9"/>
    <mergeCell ref="A4:Y4"/>
    <mergeCell ref="I7:O7"/>
    <mergeCell ref="C7:G7"/>
    <mergeCell ref="Q7:Y7"/>
    <mergeCell ref="O30:Q30"/>
    <mergeCell ref="W8:W9"/>
    <mergeCell ref="S8:S9"/>
    <mergeCell ref="I8:K8"/>
  </mergeCells>
  <pageMargins left="0.7" right="0.7" top="0.75" bottom="0.75" header="0.3" footer="0.3"/>
  <pageSetup scale="52" orientation="landscape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6"/>
  <sheetViews>
    <sheetView rightToLeft="1" topLeftCell="D4" zoomScaleNormal="100" workbookViewId="0">
      <selection activeCell="AM4" sqref="AM4"/>
    </sheetView>
  </sheetViews>
  <sheetFormatPr defaultRowHeight="15" x14ac:dyDescent="0.25"/>
  <cols>
    <col min="2" max="2" width="1.28515625" customWidth="1"/>
    <col min="3" max="3" width="9.140625" customWidth="1"/>
    <col min="4" max="4" width="0.7109375" customWidth="1"/>
    <col min="5" max="5" width="16.5703125" customWidth="1"/>
    <col min="6" max="6" width="0.5703125" customWidth="1"/>
    <col min="7" max="7" width="10.28515625" customWidth="1"/>
    <col min="8" max="8" width="0.5703125" customWidth="1"/>
    <col min="9" max="9" width="11" bestFit="1" customWidth="1"/>
    <col min="10" max="10" width="0.5703125" customWidth="1"/>
    <col min="11" max="11" width="10.7109375" bestFit="1" customWidth="1"/>
    <col min="12" max="12" width="0.7109375" customWidth="1"/>
    <col min="14" max="14" width="0.42578125" customWidth="1"/>
    <col min="16" max="16" width="0.7109375" customWidth="1"/>
    <col min="17" max="17" width="11.28515625" bestFit="1" customWidth="1"/>
    <col min="18" max="18" width="0.85546875" customWidth="1"/>
    <col min="19" max="19" width="19.28515625" bestFit="1" customWidth="1"/>
    <col min="20" max="20" width="0.7109375" customWidth="1"/>
    <col min="21" max="21" width="21.140625" bestFit="1" customWidth="1"/>
    <col min="22" max="22" width="0.85546875" customWidth="1"/>
    <col min="23" max="23" width="11.42578125" bestFit="1" customWidth="1"/>
    <col min="24" max="24" width="0.85546875" customWidth="1"/>
    <col min="25" max="25" width="19.42578125" bestFit="1" customWidth="1"/>
    <col min="26" max="26" width="0.85546875" customWidth="1"/>
    <col min="27" max="27" width="10.140625" bestFit="1" customWidth="1"/>
    <col min="28" max="28" width="0.85546875" customWidth="1"/>
    <col min="29" max="29" width="19.85546875" bestFit="1" customWidth="1"/>
    <col min="30" max="30" width="0.85546875" customWidth="1"/>
    <col min="31" max="31" width="13.85546875" bestFit="1" customWidth="1"/>
    <col min="32" max="32" width="0.85546875" customWidth="1"/>
    <col min="33" max="33" width="11.42578125" bestFit="1" customWidth="1"/>
    <col min="34" max="34" width="0.85546875" customWidth="1"/>
    <col min="35" max="35" width="19.42578125" bestFit="1" customWidth="1"/>
    <col min="36" max="36" width="0.85546875" customWidth="1"/>
    <col min="37" max="37" width="19.85546875" bestFit="1" customWidth="1"/>
    <col min="38" max="38" width="0.85546875" customWidth="1"/>
    <col min="39" max="39" width="19.7109375" bestFit="1" customWidth="1"/>
    <col min="40" max="40" width="0.85546875" customWidth="1"/>
    <col min="41" max="41" width="11.140625" customWidth="1"/>
    <col min="42" max="42" width="0.85546875" customWidth="1"/>
  </cols>
  <sheetData>
    <row r="1" spans="1:41" ht="40.5" customHeight="1" x14ac:dyDescent="0.55000000000000004">
      <c r="A1" s="279" t="s">
        <v>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</row>
    <row r="2" spans="1:41" ht="33" customHeight="1" x14ac:dyDescent="0.55000000000000004">
      <c r="A2" s="279" t="s">
        <v>45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</row>
    <row r="3" spans="1:41" ht="36" customHeight="1" x14ac:dyDescent="0.55000000000000004">
      <c r="A3" s="279" t="str">
        <f>' سهام'!A3:Y3</f>
        <v>برای ماه منتهی به 31 خرداد 1402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</row>
    <row r="4" spans="1:41" ht="39" customHeight="1" x14ac:dyDescent="0.25">
      <c r="A4" s="297" t="s">
        <v>129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AM4">
        <v>2435359958136</v>
      </c>
    </row>
    <row r="5" spans="1:41" ht="24.75" customHeight="1" x14ac:dyDescent="0.25">
      <c r="A5" s="206"/>
      <c r="B5" s="206"/>
      <c r="C5" s="206"/>
      <c r="D5" s="206"/>
      <c r="E5" s="294" t="s">
        <v>118</v>
      </c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06"/>
      <c r="Q5" s="294" t="s">
        <v>158</v>
      </c>
      <c r="R5" s="294"/>
      <c r="S5" s="294"/>
      <c r="T5" s="294"/>
      <c r="U5" s="294"/>
      <c r="W5" s="294" t="s">
        <v>119</v>
      </c>
      <c r="X5" s="294"/>
      <c r="Y5" s="294"/>
      <c r="Z5" s="294"/>
      <c r="AA5" s="294"/>
      <c r="AB5" s="294"/>
      <c r="AC5" s="294"/>
      <c r="AE5" s="294" t="s">
        <v>164</v>
      </c>
      <c r="AF5" s="294"/>
      <c r="AG5" s="294"/>
      <c r="AH5" s="294"/>
      <c r="AI5" s="294"/>
      <c r="AJ5" s="294"/>
      <c r="AK5" s="294"/>
    </row>
    <row r="6" spans="1:41" ht="24.75" customHeight="1" x14ac:dyDescent="0.55000000000000004">
      <c r="A6" s="296" t="s">
        <v>111</v>
      </c>
      <c r="B6" s="296"/>
      <c r="C6" s="296"/>
      <c r="D6" s="206"/>
      <c r="E6" s="285" t="s">
        <v>112</v>
      </c>
      <c r="F6" s="28"/>
      <c r="G6" s="285" t="s">
        <v>113</v>
      </c>
      <c r="H6" s="28"/>
      <c r="I6" s="285" t="s">
        <v>114</v>
      </c>
      <c r="J6" s="28"/>
      <c r="K6" s="285" t="s">
        <v>22</v>
      </c>
      <c r="L6" s="28"/>
      <c r="M6" s="285" t="s">
        <v>115</v>
      </c>
      <c r="N6" s="28"/>
      <c r="O6" s="285" t="s">
        <v>116</v>
      </c>
      <c r="P6" s="206"/>
      <c r="Q6" s="292" t="s">
        <v>117</v>
      </c>
      <c r="R6" s="28"/>
      <c r="S6" s="285" t="s">
        <v>0</v>
      </c>
      <c r="T6" s="28"/>
      <c r="U6" s="285" t="s">
        <v>20</v>
      </c>
      <c r="W6" s="295" t="s">
        <v>120</v>
      </c>
      <c r="X6" s="295"/>
      <c r="Y6" s="295"/>
      <c r="Z6" s="208"/>
      <c r="AA6" s="295" t="s">
        <v>121</v>
      </c>
      <c r="AB6" s="295"/>
      <c r="AC6" s="295"/>
      <c r="AE6" s="292" t="s">
        <v>117</v>
      </c>
      <c r="AF6" s="28"/>
      <c r="AG6" s="290" t="s">
        <v>125</v>
      </c>
      <c r="AH6" s="28"/>
      <c r="AI6" s="285" t="s">
        <v>0</v>
      </c>
      <c r="AJ6" s="28"/>
      <c r="AK6" s="285" t="s">
        <v>20</v>
      </c>
      <c r="AM6" s="285" t="s">
        <v>157</v>
      </c>
    </row>
    <row r="7" spans="1:41" ht="43.5" customHeight="1" x14ac:dyDescent="0.55000000000000004">
      <c r="A7" s="296"/>
      <c r="B7" s="296"/>
      <c r="C7" s="296"/>
      <c r="D7" s="210"/>
      <c r="E7" s="286"/>
      <c r="F7" s="210"/>
      <c r="G7" s="286"/>
      <c r="H7" s="210"/>
      <c r="I7" s="286"/>
      <c r="J7" s="210"/>
      <c r="K7" s="286"/>
      <c r="L7" s="210"/>
      <c r="M7" s="286"/>
      <c r="N7" s="210"/>
      <c r="O7" s="286"/>
      <c r="P7" s="210"/>
      <c r="Q7" s="293"/>
      <c r="R7" s="210"/>
      <c r="S7" s="286"/>
      <c r="T7" s="210"/>
      <c r="U7" s="286"/>
      <c r="V7" s="210"/>
      <c r="W7" s="212" t="s">
        <v>3</v>
      </c>
      <c r="X7" s="211"/>
      <c r="Y7" s="213" t="s">
        <v>122</v>
      </c>
      <c r="Z7" s="211"/>
      <c r="AA7" s="212" t="s">
        <v>117</v>
      </c>
      <c r="AB7" s="211"/>
      <c r="AC7" s="213" t="s">
        <v>0</v>
      </c>
      <c r="AD7" s="210"/>
      <c r="AE7" s="293"/>
      <c r="AF7" s="210"/>
      <c r="AG7" s="291"/>
      <c r="AH7" s="210"/>
      <c r="AI7" s="286"/>
      <c r="AJ7" s="210"/>
      <c r="AK7" s="286"/>
      <c r="AL7" s="210"/>
      <c r="AM7" s="286"/>
      <c r="AN7" s="210"/>
      <c r="AO7" s="210"/>
    </row>
    <row r="8" spans="1:41" ht="38.25" customHeight="1" x14ac:dyDescent="0.45">
      <c r="A8" s="288" t="s">
        <v>144</v>
      </c>
      <c r="B8" s="288"/>
      <c r="C8" s="288"/>
      <c r="E8" s="214" t="s">
        <v>123</v>
      </c>
      <c r="F8" s="214"/>
      <c r="G8" s="214" t="s">
        <v>124</v>
      </c>
      <c r="H8" s="214"/>
      <c r="I8" s="214" t="s">
        <v>146</v>
      </c>
      <c r="J8" s="214"/>
      <c r="K8" s="214" t="s">
        <v>147</v>
      </c>
      <c r="L8" s="214"/>
      <c r="M8" s="214" t="s">
        <v>54</v>
      </c>
      <c r="N8" s="214"/>
      <c r="O8" s="214" t="s">
        <v>54</v>
      </c>
      <c r="P8" s="214"/>
      <c r="Q8" s="215">
        <v>50800</v>
      </c>
      <c r="R8" s="215"/>
      <c r="S8" s="215">
        <v>30926872709</v>
      </c>
      <c r="T8" s="215"/>
      <c r="U8" s="215">
        <v>31367070374</v>
      </c>
      <c r="V8" s="214"/>
      <c r="W8" s="215">
        <v>0</v>
      </c>
      <c r="X8" s="215"/>
      <c r="Y8" s="215">
        <v>0</v>
      </c>
      <c r="Z8" s="214"/>
      <c r="AA8" s="225">
        <v>10000</v>
      </c>
      <c r="AB8" s="214"/>
      <c r="AC8" s="225">
        <v>6264534919</v>
      </c>
      <c r="AD8" s="214"/>
      <c r="AE8" s="215">
        <f>Q8+W8-AA8</f>
        <v>40800</v>
      </c>
      <c r="AF8" s="215"/>
      <c r="AG8" s="215">
        <v>637920</v>
      </c>
      <c r="AH8" s="215"/>
      <c r="AI8" s="215">
        <v>24853356763</v>
      </c>
      <c r="AJ8" s="215"/>
      <c r="AK8" s="215">
        <v>26008266326</v>
      </c>
      <c r="AM8" s="249">
        <f>AK8/$AM$4</f>
        <v>1.067943415884462E-2</v>
      </c>
      <c r="AO8" s="188"/>
    </row>
    <row r="9" spans="1:41" ht="38.25" customHeight="1" x14ac:dyDescent="0.45">
      <c r="A9" s="288" t="s">
        <v>148</v>
      </c>
      <c r="B9" s="288"/>
      <c r="C9" s="288"/>
      <c r="E9" s="214" t="s">
        <v>123</v>
      </c>
      <c r="F9" s="214"/>
      <c r="G9" s="214" t="s">
        <v>124</v>
      </c>
      <c r="H9" s="214"/>
      <c r="I9" s="214" t="s">
        <v>149</v>
      </c>
      <c r="J9" s="214"/>
      <c r="K9" s="214" t="s">
        <v>150</v>
      </c>
      <c r="L9" s="214"/>
      <c r="M9" s="214"/>
      <c r="N9" s="214"/>
      <c r="O9" s="214"/>
      <c r="P9" s="214"/>
      <c r="Q9" s="215">
        <v>9000</v>
      </c>
      <c r="R9" s="215"/>
      <c r="S9" s="215">
        <v>5126514030</v>
      </c>
      <c r="T9" s="215"/>
      <c r="U9" s="215">
        <v>5363978294</v>
      </c>
      <c r="V9" s="214"/>
      <c r="W9" s="215">
        <v>0</v>
      </c>
      <c r="X9" s="215"/>
      <c r="Y9" s="215">
        <v>0</v>
      </c>
      <c r="Z9" s="214"/>
      <c r="AA9" s="225">
        <v>0</v>
      </c>
      <c r="AB9" s="214"/>
      <c r="AC9" s="225">
        <v>0</v>
      </c>
      <c r="AD9" s="214"/>
      <c r="AE9" s="215">
        <v>9000</v>
      </c>
      <c r="AF9" s="215"/>
      <c r="AG9" s="215">
        <v>618420</v>
      </c>
      <c r="AH9" s="215"/>
      <c r="AI9" s="215">
        <v>5126514030</v>
      </c>
      <c r="AJ9" s="215"/>
      <c r="AK9" s="215">
        <v>5561744810</v>
      </c>
      <c r="AM9" s="249">
        <f t="shared" ref="AM9:AM15" si="0">AK9/$AM$4</f>
        <v>2.2837465120584899E-3</v>
      </c>
    </row>
    <row r="10" spans="1:41" ht="39" customHeight="1" x14ac:dyDescent="0.45">
      <c r="A10" s="288" t="s">
        <v>140</v>
      </c>
      <c r="B10" s="288"/>
      <c r="C10" s="288"/>
      <c r="E10" s="214" t="s">
        <v>123</v>
      </c>
      <c r="F10" s="214"/>
      <c r="G10" s="214" t="s">
        <v>124</v>
      </c>
      <c r="H10" s="214"/>
      <c r="I10" s="214" t="s">
        <v>151</v>
      </c>
      <c r="J10" s="214"/>
      <c r="K10" s="214" t="s">
        <v>152</v>
      </c>
      <c r="L10" s="214"/>
      <c r="M10" s="214"/>
      <c r="N10" s="214"/>
      <c r="O10" s="214"/>
      <c r="P10" s="214"/>
      <c r="Q10" s="215">
        <v>21100</v>
      </c>
      <c r="R10" s="215"/>
      <c r="S10" s="215">
        <v>15920316856</v>
      </c>
      <c r="T10" s="215"/>
      <c r="U10" s="215">
        <v>16179768157</v>
      </c>
      <c r="V10" s="214"/>
      <c r="W10" s="215">
        <v>0</v>
      </c>
      <c r="X10" s="215"/>
      <c r="Y10" s="215">
        <v>0</v>
      </c>
      <c r="Z10" s="214"/>
      <c r="AA10" s="225">
        <v>0</v>
      </c>
      <c r="AB10" s="214"/>
      <c r="AC10" s="225">
        <v>0</v>
      </c>
      <c r="AD10" s="214"/>
      <c r="AE10" s="215">
        <v>21100</v>
      </c>
      <c r="AF10" s="215"/>
      <c r="AG10" s="215">
        <v>790260</v>
      </c>
      <c r="AH10" s="215"/>
      <c r="AI10" s="215">
        <v>15920316856</v>
      </c>
      <c r="AJ10" s="215"/>
      <c r="AK10" s="215">
        <v>16662396998</v>
      </c>
      <c r="AM10" s="249">
        <f t="shared" si="0"/>
        <v>6.841862100234756E-3</v>
      </c>
    </row>
    <row r="11" spans="1:41" ht="39.75" customHeight="1" x14ac:dyDescent="0.45">
      <c r="A11" s="288" t="s">
        <v>136</v>
      </c>
      <c r="B11" s="288"/>
      <c r="C11" s="288"/>
      <c r="E11" s="214" t="s">
        <v>123</v>
      </c>
      <c r="F11" s="214"/>
      <c r="G11" s="214" t="s">
        <v>124</v>
      </c>
      <c r="H11" s="214"/>
      <c r="I11" s="214" t="s">
        <v>151</v>
      </c>
      <c r="J11" s="214"/>
      <c r="K11" s="214" t="s">
        <v>135</v>
      </c>
      <c r="L11" s="214"/>
      <c r="M11" s="214"/>
      <c r="N11" s="214"/>
      <c r="O11" s="214"/>
      <c r="P11" s="214"/>
      <c r="Q11" s="215">
        <v>13200</v>
      </c>
      <c r="R11" s="215"/>
      <c r="S11" s="215">
        <v>8983644398</v>
      </c>
      <c r="T11" s="215"/>
      <c r="U11" s="215">
        <v>9699055083</v>
      </c>
      <c r="V11" s="214"/>
      <c r="W11" s="215">
        <v>0</v>
      </c>
      <c r="X11" s="215"/>
      <c r="Y11" s="215">
        <v>0</v>
      </c>
      <c r="Z11" s="214"/>
      <c r="AA11" s="225">
        <v>1200</v>
      </c>
      <c r="AB11" s="214"/>
      <c r="AC11" s="225">
        <v>907153837</v>
      </c>
      <c r="AD11" s="214"/>
      <c r="AE11" s="215">
        <f>Q11+W11-AA11</f>
        <v>12000</v>
      </c>
      <c r="AF11" s="215"/>
      <c r="AG11" s="215">
        <v>756350</v>
      </c>
      <c r="AH11" s="215"/>
      <c r="AI11" s="215">
        <v>8166949453</v>
      </c>
      <c r="AJ11" s="215"/>
      <c r="AK11" s="215">
        <v>9069619755</v>
      </c>
      <c r="AM11" s="249">
        <f t="shared" si="0"/>
        <v>3.7241393103719235E-3</v>
      </c>
    </row>
    <row r="12" spans="1:41" ht="45.75" customHeight="1" x14ac:dyDescent="0.45">
      <c r="A12" s="288" t="s">
        <v>141</v>
      </c>
      <c r="B12" s="288"/>
      <c r="C12" s="288"/>
      <c r="E12" s="214" t="s">
        <v>123</v>
      </c>
      <c r="F12" s="214"/>
      <c r="G12" s="214" t="s">
        <v>124</v>
      </c>
      <c r="H12" s="214"/>
      <c r="I12" s="214" t="s">
        <v>151</v>
      </c>
      <c r="J12" s="214"/>
      <c r="K12" s="214" t="s">
        <v>153</v>
      </c>
      <c r="L12" s="214"/>
      <c r="M12" s="214"/>
      <c r="N12" s="214"/>
      <c r="O12" s="214"/>
      <c r="P12" s="214"/>
      <c r="Q12" s="215">
        <v>73400</v>
      </c>
      <c r="R12" s="215"/>
      <c r="S12" s="215">
        <v>51058926878</v>
      </c>
      <c r="T12" s="215"/>
      <c r="U12" s="215">
        <v>53108206615</v>
      </c>
      <c r="V12" s="214"/>
      <c r="W12" s="215">
        <v>0</v>
      </c>
      <c r="X12" s="215"/>
      <c r="Y12" s="215">
        <v>0</v>
      </c>
      <c r="Z12" s="214"/>
      <c r="AA12" s="225">
        <v>68200</v>
      </c>
      <c r="AB12" s="214"/>
      <c r="AC12" s="225">
        <v>49460297280</v>
      </c>
      <c r="AD12" s="214"/>
      <c r="AE12" s="215">
        <f>Q12+W12-AA12</f>
        <v>5200</v>
      </c>
      <c r="AF12" s="215"/>
      <c r="AG12" s="215">
        <v>741370</v>
      </c>
      <c r="AH12" s="215"/>
      <c r="AI12" s="215">
        <v>3642639000</v>
      </c>
      <c r="AJ12" s="215"/>
      <c r="AK12" s="215">
        <v>3852329035</v>
      </c>
      <c r="AM12" s="249">
        <f t="shared" si="0"/>
        <v>1.581831475109139E-3</v>
      </c>
    </row>
    <row r="13" spans="1:41" ht="38.25" customHeight="1" x14ac:dyDescent="0.45">
      <c r="A13" s="288" t="s">
        <v>142</v>
      </c>
      <c r="B13" s="288"/>
      <c r="C13" s="288"/>
      <c r="E13" s="214" t="s">
        <v>123</v>
      </c>
      <c r="F13" s="214"/>
      <c r="G13" s="214" t="s">
        <v>124</v>
      </c>
      <c r="H13" s="214"/>
      <c r="I13" s="214" t="s">
        <v>151</v>
      </c>
      <c r="J13" s="214"/>
      <c r="K13" s="214" t="s">
        <v>154</v>
      </c>
      <c r="L13" s="214"/>
      <c r="M13" s="214"/>
      <c r="N13" s="214"/>
      <c r="O13" s="214"/>
      <c r="P13" s="214"/>
      <c r="Q13" s="215">
        <v>55800</v>
      </c>
      <c r="R13" s="215"/>
      <c r="S13" s="215">
        <v>37165035071</v>
      </c>
      <c r="T13" s="215"/>
      <c r="U13" s="215">
        <v>38049198317</v>
      </c>
      <c r="V13" s="214"/>
      <c r="W13" s="215">
        <v>0</v>
      </c>
      <c r="X13" s="215"/>
      <c r="Y13" s="215">
        <v>0</v>
      </c>
      <c r="Z13" s="214"/>
      <c r="AA13" s="225">
        <v>33300</v>
      </c>
      <c r="AB13" s="214"/>
      <c r="AC13" s="225">
        <v>23194007147</v>
      </c>
      <c r="AD13" s="214"/>
      <c r="AE13" s="215">
        <f>Q13+W13-AA13</f>
        <v>22500</v>
      </c>
      <c r="AF13" s="215"/>
      <c r="AG13" s="215">
        <v>704080</v>
      </c>
      <c r="AH13" s="215"/>
      <c r="AI13" s="215">
        <v>14985901238</v>
      </c>
      <c r="AJ13" s="215"/>
      <c r="AK13" s="215">
        <v>15830314695</v>
      </c>
      <c r="AM13" s="249">
        <f t="shared" si="0"/>
        <v>6.500195029533278E-3</v>
      </c>
    </row>
    <row r="14" spans="1:41" ht="41.25" customHeight="1" x14ac:dyDescent="0.45">
      <c r="A14" s="288" t="s">
        <v>145</v>
      </c>
      <c r="B14" s="288"/>
      <c r="C14" s="288"/>
      <c r="E14" s="214" t="s">
        <v>123</v>
      </c>
      <c r="F14" s="214"/>
      <c r="G14" s="214" t="s">
        <v>124</v>
      </c>
      <c r="H14" s="214"/>
      <c r="I14" s="214" t="s">
        <v>151</v>
      </c>
      <c r="J14" s="214"/>
      <c r="K14" s="214" t="s">
        <v>155</v>
      </c>
      <c r="L14" s="214"/>
      <c r="M14" s="214"/>
      <c r="N14" s="214"/>
      <c r="O14" s="214"/>
      <c r="P14" s="214"/>
      <c r="Q14" s="215">
        <v>0</v>
      </c>
      <c r="R14" s="215"/>
      <c r="S14" s="215">
        <v>0</v>
      </c>
      <c r="T14" s="215"/>
      <c r="U14" s="215">
        <v>0</v>
      </c>
      <c r="V14" s="214"/>
      <c r="W14" s="215">
        <v>0</v>
      </c>
      <c r="X14" s="215"/>
      <c r="Y14" s="215">
        <v>0</v>
      </c>
      <c r="Z14" s="214"/>
      <c r="AA14" s="225">
        <v>0</v>
      </c>
      <c r="AB14" s="214"/>
      <c r="AC14" s="225">
        <v>0</v>
      </c>
      <c r="AD14" s="214"/>
      <c r="AE14" s="215">
        <v>0</v>
      </c>
      <c r="AF14" s="215"/>
      <c r="AG14" s="215">
        <v>0</v>
      </c>
      <c r="AH14" s="215"/>
      <c r="AI14" s="215">
        <v>0</v>
      </c>
      <c r="AJ14" s="215"/>
      <c r="AK14" s="215">
        <v>0</v>
      </c>
      <c r="AM14" s="249">
        <f t="shared" si="0"/>
        <v>0</v>
      </c>
    </row>
    <row r="15" spans="1:41" ht="44.25" customHeight="1" thickBot="1" x14ac:dyDescent="0.5">
      <c r="A15" s="289" t="s">
        <v>156</v>
      </c>
      <c r="B15" s="289"/>
      <c r="C15" s="289"/>
      <c r="E15" s="241" t="s">
        <v>123</v>
      </c>
      <c r="F15" s="214"/>
      <c r="G15" s="241" t="s">
        <v>124</v>
      </c>
      <c r="H15" s="214"/>
      <c r="I15" s="241" t="s">
        <v>151</v>
      </c>
      <c r="J15" s="214"/>
      <c r="K15" s="241" t="s">
        <v>137</v>
      </c>
      <c r="L15" s="214"/>
      <c r="M15" s="241"/>
      <c r="N15" s="214"/>
      <c r="O15" s="241"/>
      <c r="P15" s="214"/>
      <c r="Q15" s="242">
        <v>13600</v>
      </c>
      <c r="R15" s="215"/>
      <c r="S15" s="242">
        <v>9780093876</v>
      </c>
      <c r="T15" s="215"/>
      <c r="U15" s="242">
        <v>10211359393.200001</v>
      </c>
      <c r="V15" s="214"/>
      <c r="W15" s="242">
        <v>0</v>
      </c>
      <c r="X15" s="215"/>
      <c r="Y15" s="242">
        <v>0</v>
      </c>
      <c r="Z15" s="214"/>
      <c r="AA15" s="243">
        <v>0</v>
      </c>
      <c r="AB15" s="214"/>
      <c r="AC15" s="243">
        <v>0</v>
      </c>
      <c r="AD15" s="214"/>
      <c r="AE15" s="242">
        <v>13600</v>
      </c>
      <c r="AF15" s="215"/>
      <c r="AG15" s="244">
        <v>773040</v>
      </c>
      <c r="AH15" s="215"/>
      <c r="AI15" s="242">
        <v>9780093876</v>
      </c>
      <c r="AJ15" s="215"/>
      <c r="AK15" s="242">
        <v>10505721826</v>
      </c>
      <c r="AM15" s="249">
        <f t="shared" si="0"/>
        <v>4.313827116563489E-3</v>
      </c>
    </row>
    <row r="16" spans="1:41" ht="37.5" customHeight="1" thickBot="1" x14ac:dyDescent="0.6">
      <c r="A16" s="287" t="s">
        <v>2</v>
      </c>
      <c r="B16" s="287"/>
      <c r="C16" s="287"/>
      <c r="D16" s="245"/>
      <c r="E16" s="246"/>
      <c r="F16" s="245"/>
      <c r="G16" s="246"/>
      <c r="H16" s="245"/>
      <c r="I16" s="246"/>
      <c r="J16" s="245"/>
      <c r="K16" s="246"/>
      <c r="L16" s="245"/>
      <c r="M16" s="246"/>
      <c r="N16" s="245"/>
      <c r="O16" s="246"/>
      <c r="P16" s="245"/>
      <c r="Q16" s="247">
        <f>SUM(Q8:Q15)</f>
        <v>236900</v>
      </c>
      <c r="R16" s="245"/>
      <c r="S16" s="247">
        <f>SUM(S8:S15)</f>
        <v>158961403818</v>
      </c>
      <c r="T16" s="247"/>
      <c r="U16" s="247">
        <f>SUM(U8:U15)</f>
        <v>163978636233.20001</v>
      </c>
      <c r="V16" s="247"/>
      <c r="W16" s="247">
        <f>SUM(W8:W15)</f>
        <v>0</v>
      </c>
      <c r="X16" s="247"/>
      <c r="Y16" s="247">
        <f>SUM(Y8:Y15)</f>
        <v>0</v>
      </c>
      <c r="Z16" s="247"/>
      <c r="AA16" s="247">
        <f>SUM(AA8:AA15)</f>
        <v>112700</v>
      </c>
      <c r="AB16" s="247"/>
      <c r="AC16" s="247">
        <f>SUM(AC8:AC15)</f>
        <v>79825993183</v>
      </c>
      <c r="AD16" s="247"/>
      <c r="AE16" s="247">
        <f>SUM(AE8:AE15)</f>
        <v>124200</v>
      </c>
      <c r="AF16" s="247"/>
      <c r="AG16" s="250"/>
      <c r="AH16" s="247"/>
      <c r="AI16" s="247">
        <f>SUM(AI8:AI15)</f>
        <v>82475771216</v>
      </c>
      <c r="AJ16" s="247"/>
      <c r="AK16" s="247">
        <f>SUM(AK8:AK15)</f>
        <v>87490393445</v>
      </c>
      <c r="AM16" s="248">
        <f>SUM(AM8:AM15)</f>
        <v>3.5925035702715692E-2</v>
      </c>
    </row>
    <row r="17" spans="19:31" ht="15.75" thickTop="1" x14ac:dyDescent="0.25">
      <c r="U17" s="218"/>
    </row>
    <row r="19" spans="19:31" x14ac:dyDescent="0.25">
      <c r="S19" s="71"/>
      <c r="Y19" s="71"/>
    </row>
    <row r="20" spans="19:31" x14ac:dyDescent="0.25">
      <c r="S20" s="71"/>
      <c r="U20" s="71"/>
      <c r="Y20" s="71"/>
      <c r="AC20" s="71"/>
      <c r="AE20" s="71"/>
    </row>
    <row r="21" spans="19:31" x14ac:dyDescent="0.25">
      <c r="S21" s="71"/>
      <c r="U21" s="71"/>
      <c r="Y21" s="71"/>
      <c r="AC21" s="71"/>
      <c r="AE21" s="71"/>
    </row>
    <row r="22" spans="19:31" x14ac:dyDescent="0.25">
      <c r="S22" s="71"/>
      <c r="U22" s="71"/>
      <c r="AC22" s="71"/>
      <c r="AE22" s="71"/>
    </row>
    <row r="23" spans="19:31" x14ac:dyDescent="0.25">
      <c r="S23" s="71"/>
      <c r="AC23" s="71"/>
      <c r="AE23" s="71"/>
    </row>
    <row r="24" spans="19:31" x14ac:dyDescent="0.25">
      <c r="S24" s="71"/>
      <c r="AE24" s="71"/>
    </row>
    <row r="25" spans="19:31" x14ac:dyDescent="0.25">
      <c r="S25" s="71"/>
      <c r="AE25" s="71"/>
    </row>
    <row r="26" spans="19:31" x14ac:dyDescent="0.25">
      <c r="S26" s="71"/>
    </row>
  </sheetData>
  <mergeCells count="34">
    <mergeCell ref="Q5:U5"/>
    <mergeCell ref="E5:O5"/>
    <mergeCell ref="E6:E7"/>
    <mergeCell ref="G6:G7"/>
    <mergeCell ref="I6:I7"/>
    <mergeCell ref="K6:K7"/>
    <mergeCell ref="M6:M7"/>
    <mergeCell ref="A1:AK1"/>
    <mergeCell ref="A2:AK2"/>
    <mergeCell ref="A3:AK3"/>
    <mergeCell ref="Q6:Q7"/>
    <mergeCell ref="S6:S7"/>
    <mergeCell ref="U6:U7"/>
    <mergeCell ref="AE5:AK5"/>
    <mergeCell ref="AE6:AE7"/>
    <mergeCell ref="AI6:AI7"/>
    <mergeCell ref="AK6:AK7"/>
    <mergeCell ref="W5:AC5"/>
    <mergeCell ref="W6:Y6"/>
    <mergeCell ref="AA6:AC6"/>
    <mergeCell ref="A6:C7"/>
    <mergeCell ref="O6:O7"/>
    <mergeCell ref="A4:U4"/>
    <mergeCell ref="AM6:AM7"/>
    <mergeCell ref="A16:C16"/>
    <mergeCell ref="A13:C13"/>
    <mergeCell ref="A14:C14"/>
    <mergeCell ref="A15:C15"/>
    <mergeCell ref="A10:C10"/>
    <mergeCell ref="A11:C11"/>
    <mergeCell ref="A12:C12"/>
    <mergeCell ref="AG6:AG7"/>
    <mergeCell ref="A9:C9"/>
    <mergeCell ref="A8:C8"/>
  </mergeCells>
  <pageMargins left="0.7" right="0.7" top="0.75" bottom="0.75" header="0.3" footer="0.3"/>
  <pageSetup scale="1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20"/>
  <sheetViews>
    <sheetView rightToLeft="1" zoomScaleNormal="100" zoomScaleSheetLayoutView="90" workbookViewId="0">
      <selection activeCell="G17" sqref="G17"/>
    </sheetView>
  </sheetViews>
  <sheetFormatPr defaultRowHeight="30" customHeight="1" x14ac:dyDescent="0.5"/>
  <cols>
    <col min="1" max="1" width="17.140625" style="5" customWidth="1"/>
    <col min="2" max="2" width="0.7109375" style="5" customWidth="1"/>
    <col min="3" max="3" width="16.140625" style="5" customWidth="1"/>
    <col min="4" max="4" width="0.7109375" style="5" customWidth="1"/>
    <col min="5" max="5" width="9.7109375" style="5" customWidth="1"/>
    <col min="6" max="6" width="0.7109375" style="5" customWidth="1"/>
    <col min="7" max="7" width="13.7109375" style="5" customWidth="1"/>
    <col min="8" max="8" width="0.7109375" style="5" customWidth="1"/>
    <col min="9" max="9" width="12.85546875" style="5" customWidth="1"/>
    <col min="10" max="10" width="0.5703125" style="5" customWidth="1"/>
    <col min="11" max="11" width="17.28515625" style="5" bestFit="1" customWidth="1"/>
    <col min="12" max="12" width="0.7109375" style="5" customWidth="1"/>
    <col min="13" max="13" width="6.5703125" style="5" customWidth="1"/>
    <col min="14" max="14" width="12.42578125" style="5" customWidth="1"/>
    <col min="15" max="15" width="0.42578125" style="5" customWidth="1"/>
    <col min="16" max="16" width="5.28515625" style="5" customWidth="1"/>
    <col min="17" max="17" width="13" style="5" customWidth="1"/>
    <col min="18" max="18" width="0.42578125" style="5" customWidth="1"/>
    <col min="19" max="19" width="18.5703125" style="5" bestFit="1" customWidth="1"/>
    <col min="20" max="20" width="0.5703125" style="5" customWidth="1"/>
    <col min="21" max="21" width="11.5703125" style="98" customWidth="1"/>
    <col min="22" max="22" width="17.5703125" style="130" bestFit="1" customWidth="1"/>
    <col min="23" max="23" width="18.140625" style="115" bestFit="1" customWidth="1"/>
    <col min="24" max="24" width="9.140625" style="86"/>
    <col min="25" max="25" width="16.5703125" style="103" bestFit="1" customWidth="1"/>
    <col min="26" max="35" width="9.140625" style="86"/>
    <col min="36" max="16384" width="9.140625" style="5"/>
  </cols>
  <sheetData>
    <row r="1" spans="1:35" ht="30" customHeight="1" x14ac:dyDescent="0.55000000000000004">
      <c r="A1" s="279" t="s">
        <v>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35" ht="24" customHeight="1" x14ac:dyDescent="0.55000000000000004">
      <c r="A2" s="279" t="s">
        <v>45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spans="1:35" ht="21" customHeight="1" x14ac:dyDescent="0.55000000000000004">
      <c r="A3" s="279" t="str">
        <f>' سهام'!A3:Y3</f>
        <v>برای ماه منتهی به 31 خرداد 1402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</row>
    <row r="4" spans="1:35" ht="30" customHeight="1" x14ac:dyDescent="0.5">
      <c r="A4" s="297" t="s">
        <v>110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</row>
    <row r="5" spans="1:35" ht="12" customHeight="1" x14ac:dyDescent="0.5"/>
    <row r="6" spans="1:35" ht="41.25" customHeight="1" thickBot="1" x14ac:dyDescent="0.55000000000000004">
      <c r="A6" s="6"/>
      <c r="C6" s="275" t="s">
        <v>11</v>
      </c>
      <c r="D6" s="275"/>
      <c r="E6" s="275"/>
      <c r="F6" s="275"/>
      <c r="G6" s="275"/>
      <c r="H6" s="275"/>
      <c r="I6" s="275"/>
      <c r="J6" s="7"/>
      <c r="K6" s="6" t="s">
        <v>165</v>
      </c>
      <c r="L6" s="13"/>
      <c r="M6" s="274" t="s">
        <v>7</v>
      </c>
      <c r="N6" s="274"/>
      <c r="O6" s="274"/>
      <c r="P6" s="274"/>
      <c r="Q6" s="274"/>
      <c r="S6" s="275" t="s">
        <v>164</v>
      </c>
      <c r="T6" s="275"/>
      <c r="U6" s="275"/>
    </row>
    <row r="7" spans="1:35" s="44" customFormat="1" ht="30" customHeight="1" x14ac:dyDescent="0.55000000000000004">
      <c r="A7" s="280" t="s">
        <v>8</v>
      </c>
      <c r="B7" s="7"/>
      <c r="C7" s="301" t="s">
        <v>9</v>
      </c>
      <c r="D7" s="7"/>
      <c r="E7" s="301" t="s">
        <v>10</v>
      </c>
      <c r="F7" s="7"/>
      <c r="G7" s="301" t="s">
        <v>30</v>
      </c>
      <c r="H7" s="7"/>
      <c r="I7" s="301" t="s">
        <v>31</v>
      </c>
      <c r="J7" s="280"/>
      <c r="K7" s="278" t="s">
        <v>6</v>
      </c>
      <c r="L7" s="7"/>
      <c r="M7" s="278" t="s">
        <v>32</v>
      </c>
      <c r="N7" s="278"/>
      <c r="O7" s="20"/>
      <c r="P7" s="278" t="s">
        <v>33</v>
      </c>
      <c r="Q7" s="278"/>
      <c r="S7" s="283" t="s">
        <v>6</v>
      </c>
      <c r="T7" s="280"/>
      <c r="U7" s="299" t="s">
        <v>21</v>
      </c>
      <c r="V7" s="131"/>
      <c r="W7" s="116">
        <v>2435359958136</v>
      </c>
      <c r="X7" s="102"/>
      <c r="Y7" s="104"/>
      <c r="Z7" s="102"/>
      <c r="AA7" s="102"/>
      <c r="AB7" s="102"/>
      <c r="AC7" s="102"/>
      <c r="AD7" s="102"/>
      <c r="AE7" s="102"/>
      <c r="AF7" s="102"/>
      <c r="AG7" s="102"/>
      <c r="AH7" s="102"/>
      <c r="AI7" s="102"/>
    </row>
    <row r="8" spans="1:35" s="44" customFormat="1" ht="23.25" customHeight="1" thickBot="1" x14ac:dyDescent="0.6">
      <c r="A8" s="275"/>
      <c r="B8" s="7"/>
      <c r="C8" s="302"/>
      <c r="D8" s="7"/>
      <c r="E8" s="302"/>
      <c r="F8" s="7"/>
      <c r="G8" s="302"/>
      <c r="H8" s="7"/>
      <c r="I8" s="302"/>
      <c r="J8" s="280"/>
      <c r="K8" s="274"/>
      <c r="L8" s="7"/>
      <c r="M8" s="274"/>
      <c r="N8" s="274"/>
      <c r="P8" s="274"/>
      <c r="Q8" s="274"/>
      <c r="S8" s="284"/>
      <c r="T8" s="280"/>
      <c r="U8" s="300"/>
      <c r="V8" s="131"/>
      <c r="W8" s="116"/>
      <c r="X8" s="102"/>
      <c r="Y8" s="104"/>
      <c r="Z8" s="102"/>
      <c r="AA8" s="102"/>
      <c r="AB8" s="102"/>
      <c r="AC8" s="303"/>
      <c r="AD8" s="303"/>
      <c r="AE8" s="303"/>
      <c r="AF8" s="102"/>
      <c r="AG8" s="102"/>
      <c r="AH8" s="102"/>
      <c r="AI8" s="102"/>
    </row>
    <row r="9" spans="1:35" s="44" customFormat="1" ht="23.25" customHeight="1" x14ac:dyDescent="0.55000000000000004">
      <c r="A9" s="8" t="s">
        <v>131</v>
      </c>
      <c r="B9" s="8"/>
      <c r="C9" s="14">
        <v>114263907004</v>
      </c>
      <c r="D9" s="8"/>
      <c r="E9" s="8" t="s">
        <v>132</v>
      </c>
      <c r="F9" s="8"/>
      <c r="G9" s="9" t="s">
        <v>133</v>
      </c>
      <c r="H9" s="8"/>
      <c r="I9" s="10">
        <v>0</v>
      </c>
      <c r="J9" s="8"/>
      <c r="K9" s="222">
        <v>7550601691</v>
      </c>
      <c r="L9" s="8"/>
      <c r="M9" s="305">
        <v>301000000000</v>
      </c>
      <c r="N9" s="305"/>
      <c r="O9" s="222"/>
      <c r="P9" s="305">
        <v>305003151879</v>
      </c>
      <c r="Q9" s="305"/>
      <c r="R9" s="8"/>
      <c r="S9" s="222">
        <f>K9+M9-P9</f>
        <v>3547449812</v>
      </c>
      <c r="T9" s="8"/>
      <c r="U9" s="223">
        <f>S9/$W$7</f>
        <v>1.4566429082274895E-3</v>
      </c>
      <c r="V9" s="131"/>
      <c r="W9" s="116"/>
      <c r="X9" s="102"/>
      <c r="Y9" s="104"/>
      <c r="Z9" s="102"/>
      <c r="AA9" s="102"/>
      <c r="AB9" s="102"/>
      <c r="AC9" s="207"/>
      <c r="AD9" s="207"/>
      <c r="AE9" s="207"/>
      <c r="AF9" s="102"/>
      <c r="AG9" s="102"/>
      <c r="AH9" s="102"/>
      <c r="AI9" s="102"/>
    </row>
    <row r="10" spans="1:35" ht="35.1" customHeight="1" x14ac:dyDescent="0.5">
      <c r="A10" s="8" t="s">
        <v>63</v>
      </c>
      <c r="B10" s="8"/>
      <c r="C10" s="14">
        <v>226985001005</v>
      </c>
      <c r="D10" s="8"/>
      <c r="E10" s="9" t="s">
        <v>55</v>
      </c>
      <c r="F10" s="8"/>
      <c r="G10" s="9" t="s">
        <v>66</v>
      </c>
      <c r="H10" s="8"/>
      <c r="I10" s="15">
        <v>0.1</v>
      </c>
      <c r="J10" s="10"/>
      <c r="K10" s="258">
        <v>2561482157</v>
      </c>
      <c r="L10" s="12"/>
      <c r="M10" s="308">
        <v>10877527</v>
      </c>
      <c r="N10" s="308"/>
      <c r="O10" s="16"/>
      <c r="P10" s="308">
        <v>0</v>
      </c>
      <c r="Q10" s="308"/>
      <c r="R10" s="16"/>
      <c r="S10" s="17">
        <f t="shared" ref="S10:S14" si="0">K10+M10-P10</f>
        <v>2572359684</v>
      </c>
      <c r="T10" s="18"/>
      <c r="U10" s="223">
        <f t="shared" ref="U10:U15" si="1">S10/$W$7</f>
        <v>1.0562544051881588E-3</v>
      </c>
      <c r="Y10" s="105"/>
      <c r="AC10" s="304"/>
      <c r="AD10" s="304"/>
      <c r="AE10" s="304"/>
    </row>
    <row r="11" spans="1:35" ht="35.1" customHeight="1" x14ac:dyDescent="0.5">
      <c r="A11" s="8" t="s">
        <v>64</v>
      </c>
      <c r="B11" s="8"/>
      <c r="C11" s="14">
        <v>227016319007</v>
      </c>
      <c r="D11" s="8"/>
      <c r="E11" s="9" t="s">
        <v>55</v>
      </c>
      <c r="F11" s="8"/>
      <c r="G11" s="9" t="s">
        <v>67</v>
      </c>
      <c r="H11" s="222">
        <f>'درآمد سپرده بانکی'!E13</f>
        <v>1957220</v>
      </c>
      <c r="I11" s="15">
        <v>0.1</v>
      </c>
      <c r="J11" s="10"/>
      <c r="K11" s="258">
        <v>1325896449</v>
      </c>
      <c r="L11" s="12"/>
      <c r="M11" s="309">
        <v>300001218582</v>
      </c>
      <c r="N11" s="309"/>
      <c r="O11" s="16"/>
      <c r="P11" s="309">
        <v>300000000000</v>
      </c>
      <c r="Q11" s="309"/>
      <c r="R11" s="16"/>
      <c r="S11" s="17">
        <f t="shared" si="0"/>
        <v>1327115031</v>
      </c>
      <c r="T11" s="18"/>
      <c r="U11" s="223">
        <f t="shared" si="1"/>
        <v>5.4493588373513398E-4</v>
      </c>
      <c r="W11" s="72"/>
    </row>
    <row r="12" spans="1:35" ht="35.1" customHeight="1" x14ac:dyDescent="0.5">
      <c r="A12" s="8" t="s">
        <v>63</v>
      </c>
      <c r="B12" s="8"/>
      <c r="C12" s="14">
        <v>227775365002</v>
      </c>
      <c r="D12" s="8"/>
      <c r="E12" s="9" t="s">
        <v>55</v>
      </c>
      <c r="F12" s="8"/>
      <c r="G12" s="9" t="s">
        <v>81</v>
      </c>
      <c r="H12" s="8"/>
      <c r="I12" s="15">
        <v>0.1</v>
      </c>
      <c r="J12" s="10"/>
      <c r="K12" s="258">
        <v>1391201994</v>
      </c>
      <c r="L12" s="12"/>
      <c r="M12" s="309">
        <v>1661269</v>
      </c>
      <c r="N12" s="309"/>
      <c r="O12" s="16"/>
      <c r="P12" s="309">
        <v>1000000000</v>
      </c>
      <c r="Q12" s="309"/>
      <c r="R12" s="16"/>
      <c r="S12" s="17">
        <f t="shared" si="0"/>
        <v>392863263</v>
      </c>
      <c r="T12" s="18"/>
      <c r="U12" s="223">
        <f t="shared" si="1"/>
        <v>1.61316302211314E-4</v>
      </c>
      <c r="W12" s="72"/>
    </row>
    <row r="13" spans="1:35" ht="35.1" customHeight="1" x14ac:dyDescent="0.5">
      <c r="A13" s="8" t="s">
        <v>63</v>
      </c>
      <c r="B13" s="8"/>
      <c r="C13" s="14">
        <v>227855598000</v>
      </c>
      <c r="D13" s="8"/>
      <c r="E13" s="9" t="s">
        <v>55</v>
      </c>
      <c r="F13" s="8"/>
      <c r="G13" s="9" t="s">
        <v>84</v>
      </c>
      <c r="H13" s="8"/>
      <c r="I13" s="15">
        <v>0.1</v>
      </c>
      <c r="J13" s="10"/>
      <c r="K13" s="258">
        <v>352511637</v>
      </c>
      <c r="L13" s="12"/>
      <c r="M13" s="298">
        <v>1496967</v>
      </c>
      <c r="N13" s="298"/>
      <c r="O13" s="16">
        <v>134108843</v>
      </c>
      <c r="P13" s="298">
        <v>0</v>
      </c>
      <c r="Q13" s="298"/>
      <c r="R13" s="16"/>
      <c r="S13" s="17">
        <f t="shared" si="0"/>
        <v>354008604</v>
      </c>
      <c r="T13" s="18"/>
      <c r="U13" s="223">
        <f t="shared" si="1"/>
        <v>1.4536192188646915E-4</v>
      </c>
      <c r="W13" s="72"/>
    </row>
    <row r="14" spans="1:35" ht="35.1" customHeight="1" x14ac:dyDescent="0.5">
      <c r="A14" s="8" t="s">
        <v>64</v>
      </c>
      <c r="B14" s="8"/>
      <c r="C14" s="14">
        <v>227563029003</v>
      </c>
      <c r="D14" s="8"/>
      <c r="E14" s="9" t="s">
        <v>55</v>
      </c>
      <c r="F14" s="8"/>
      <c r="G14" s="9" t="s">
        <v>73</v>
      </c>
      <c r="H14" s="8"/>
      <c r="I14" s="15">
        <v>0.1</v>
      </c>
      <c r="J14" s="10"/>
      <c r="K14" s="265">
        <v>460893660</v>
      </c>
      <c r="L14" s="12"/>
      <c r="M14" s="298">
        <v>1957220</v>
      </c>
      <c r="N14" s="298"/>
      <c r="O14" s="16"/>
      <c r="P14" s="298">
        <v>0</v>
      </c>
      <c r="Q14" s="298"/>
      <c r="R14" s="16"/>
      <c r="S14" s="17">
        <f t="shared" si="0"/>
        <v>462850880</v>
      </c>
      <c r="T14" s="18"/>
      <c r="U14" s="223">
        <f t="shared" si="1"/>
        <v>1.9005440179539678E-4</v>
      </c>
    </row>
    <row r="15" spans="1:35" ht="35.1" customHeight="1" thickBot="1" x14ac:dyDescent="0.55000000000000004">
      <c r="A15" s="8" t="s">
        <v>64</v>
      </c>
      <c r="B15" s="8"/>
      <c r="C15" s="14">
        <v>22787919008</v>
      </c>
      <c r="D15" s="8"/>
      <c r="E15" s="9" t="s">
        <v>55</v>
      </c>
      <c r="F15" s="8"/>
      <c r="G15" s="9" t="s">
        <v>96</v>
      </c>
      <c r="H15" s="8"/>
      <c r="I15" s="15">
        <v>0.1</v>
      </c>
      <c r="J15" s="10"/>
      <c r="K15" s="258">
        <v>1169993166</v>
      </c>
      <c r="L15" s="12"/>
      <c r="M15" s="298">
        <v>50004968464</v>
      </c>
      <c r="N15" s="298"/>
      <c r="O15" s="16"/>
      <c r="P15" s="298">
        <v>50000000000</v>
      </c>
      <c r="Q15" s="298"/>
      <c r="R15" s="16"/>
      <c r="S15" s="298">
        <f>K15+M15-P15</f>
        <v>1174961630</v>
      </c>
      <c r="T15" s="298"/>
      <c r="U15" s="223">
        <f t="shared" si="1"/>
        <v>4.8245912316769129E-4</v>
      </c>
    </row>
    <row r="16" spans="1:35" ht="35.1" customHeight="1" thickBot="1" x14ac:dyDescent="0.6">
      <c r="A16" s="7" t="s">
        <v>2</v>
      </c>
      <c r="B16" s="8"/>
      <c r="C16" s="8"/>
      <c r="D16" s="8"/>
      <c r="E16" s="8"/>
      <c r="F16" s="8"/>
      <c r="G16" s="8"/>
      <c r="H16" s="8"/>
      <c r="I16" s="8"/>
      <c r="J16" s="10"/>
      <c r="K16" s="19">
        <f>SUM(K9:K15)</f>
        <v>14812580754</v>
      </c>
      <c r="L16" s="6"/>
      <c r="M16" s="306">
        <f>SUM(M9:N15)</f>
        <v>651022180029</v>
      </c>
      <c r="N16" s="307"/>
      <c r="O16" s="20"/>
      <c r="P16" s="306">
        <f>SUM(P9:Q15)</f>
        <v>656003151879</v>
      </c>
      <c r="Q16" s="307"/>
      <c r="R16" s="20"/>
      <c r="S16" s="19">
        <f>SUM(S9:S15)</f>
        <v>9831608904</v>
      </c>
      <c r="T16" s="6"/>
      <c r="U16" s="134">
        <f>SUM(U9:U15)</f>
        <v>4.0370249462116535E-3</v>
      </c>
    </row>
    <row r="17" spans="7:25" ht="30" customHeight="1" thickTop="1" x14ac:dyDescent="0.5">
      <c r="S17" s="36"/>
      <c r="W17" s="267"/>
    </row>
    <row r="18" spans="7:25" ht="30" customHeight="1" x14ac:dyDescent="0.5">
      <c r="G18" s="257"/>
      <c r="K18" s="36">
        <v>6685878034</v>
      </c>
      <c r="N18" s="36"/>
    </row>
    <row r="19" spans="7:25" ht="30" customHeight="1" x14ac:dyDescent="0.5">
      <c r="K19" s="36"/>
    </row>
    <row r="20" spans="7:25" ht="30" customHeight="1" x14ac:dyDescent="0.5">
      <c r="Y20" s="106"/>
    </row>
  </sheetData>
  <customSheetViews>
    <customSheetView guid="{9B1DBD13-10C2-4EFD-B3C9-81858DAEB6DD}" showPageBreaks="1" printArea="1">
      <selection activeCell="U5" sqref="U1:U1048576"/>
      <pageMargins left="0.7" right="0.7" top="0.75" bottom="0.75" header="0.3" footer="0.3"/>
      <pageSetup scale="72" orientation="landscape" r:id="rId1"/>
    </customSheetView>
    <customSheetView guid="{0FB03AA2-1E4C-49B5-A51E-AA30FB031C6E}">
      <selection activeCell="U5" sqref="U1:U1048576"/>
      <pageMargins left="0.7" right="0.7" top="0.75" bottom="0.75" header="0.3" footer="0.3"/>
      <pageSetup scale="72" orientation="landscape" r:id="rId2"/>
    </customSheetView>
  </customSheetViews>
  <mergeCells count="38">
    <mergeCell ref="M16:N16"/>
    <mergeCell ref="P16:Q16"/>
    <mergeCell ref="M10:N10"/>
    <mergeCell ref="M11:N11"/>
    <mergeCell ref="P10:Q10"/>
    <mergeCell ref="P11:Q11"/>
    <mergeCell ref="M14:N14"/>
    <mergeCell ref="P14:Q14"/>
    <mergeCell ref="M12:N12"/>
    <mergeCell ref="P12:Q12"/>
    <mergeCell ref="M13:N13"/>
    <mergeCell ref="P13:Q13"/>
    <mergeCell ref="M15:N15"/>
    <mergeCell ref="P15:Q15"/>
    <mergeCell ref="C6:I6"/>
    <mergeCell ref="AC8:AE8"/>
    <mergeCell ref="AC10:AE10"/>
    <mergeCell ref="M6:Q6"/>
    <mergeCell ref="M7:N8"/>
    <mergeCell ref="P7:Q8"/>
    <mergeCell ref="M9:N9"/>
    <mergeCell ref="P9:Q9"/>
    <mergeCell ref="S15:T15"/>
    <mergeCell ref="A1:U1"/>
    <mergeCell ref="A2:U2"/>
    <mergeCell ref="A3:U3"/>
    <mergeCell ref="U7:U8"/>
    <mergeCell ref="A4:U4"/>
    <mergeCell ref="S6:U6"/>
    <mergeCell ref="S7:S8"/>
    <mergeCell ref="T7:T8"/>
    <mergeCell ref="A7:A8"/>
    <mergeCell ref="J7:J8"/>
    <mergeCell ref="K7:K8"/>
    <mergeCell ref="C7:C8"/>
    <mergeCell ref="E7:E8"/>
    <mergeCell ref="G7:G8"/>
    <mergeCell ref="I7:I8"/>
  </mergeCells>
  <pageMargins left="0.7" right="0.7" top="0.75" bottom="0.75" header="0.3" footer="0.3"/>
  <pageSetup scale="76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A13"/>
  <sheetViews>
    <sheetView rightToLeft="1" view="pageBreakPreview" zoomScaleNormal="100" zoomScaleSheetLayoutView="100" workbookViewId="0">
      <selection activeCell="F21" sqref="F21"/>
    </sheetView>
  </sheetViews>
  <sheetFormatPr defaultRowHeight="15" x14ac:dyDescent="0.25"/>
  <cols>
    <col min="1" max="1" width="2" customWidth="1"/>
    <col min="2" max="2" width="50.28515625" style="4" customWidth="1"/>
    <col min="3" max="3" width="1" style="4" customWidth="1"/>
    <col min="5" max="5" width="1.140625" customWidth="1"/>
    <col min="6" max="6" width="20.140625" bestFit="1" customWidth="1"/>
    <col min="7" max="7" width="1" customWidth="1"/>
    <col min="8" max="8" width="16.28515625" style="91" customWidth="1"/>
    <col min="9" max="9" width="0.42578125" style="91" customWidth="1"/>
    <col min="10" max="10" width="19.5703125" style="91" customWidth="1"/>
    <col min="11" max="11" width="9.140625" style="87"/>
    <col min="12" max="12" width="17.140625" customWidth="1"/>
    <col min="13" max="13" width="16.42578125" style="87" bestFit="1" customWidth="1"/>
    <col min="14" max="14" width="14.85546875" style="87" bestFit="1" customWidth="1"/>
    <col min="15" max="17" width="9.140625" style="87"/>
    <col min="18" max="18" width="16.42578125" style="87" bestFit="1" customWidth="1"/>
    <col min="19" max="27" width="9.140625" style="87"/>
  </cols>
  <sheetData>
    <row r="1" spans="2:27" ht="21.75" x14ac:dyDescent="0.25">
      <c r="B1" s="310" t="s">
        <v>51</v>
      </c>
      <c r="C1" s="310"/>
      <c r="D1" s="310"/>
      <c r="E1" s="310"/>
      <c r="F1" s="310"/>
      <c r="G1" s="310"/>
      <c r="H1" s="310"/>
      <c r="I1" s="310"/>
      <c r="J1" s="310"/>
    </row>
    <row r="2" spans="2:27" ht="21.75" x14ac:dyDescent="0.25">
      <c r="B2" s="310" t="s">
        <v>48</v>
      </c>
      <c r="C2" s="310"/>
      <c r="D2" s="310"/>
      <c r="E2" s="310"/>
      <c r="F2" s="310"/>
      <c r="G2" s="310"/>
      <c r="H2" s="310"/>
      <c r="I2" s="310"/>
      <c r="J2" s="310"/>
    </row>
    <row r="3" spans="2:27" ht="21.75" x14ac:dyDescent="0.25">
      <c r="B3" s="310" t="str">
        <f>سپرده!A3</f>
        <v>برای ماه منتهی به 31 خرداد 1402</v>
      </c>
      <c r="C3" s="310"/>
      <c r="D3" s="310"/>
      <c r="E3" s="310"/>
      <c r="F3" s="310"/>
      <c r="G3" s="310"/>
      <c r="H3" s="310"/>
      <c r="I3" s="310"/>
      <c r="J3" s="310"/>
      <c r="R3" s="181"/>
    </row>
    <row r="4" spans="2:27" ht="25.5" x14ac:dyDescent="0.25">
      <c r="B4" s="273" t="s">
        <v>27</v>
      </c>
      <c r="C4" s="273"/>
      <c r="D4" s="273"/>
      <c r="E4" s="273"/>
      <c r="F4" s="273"/>
      <c r="G4" s="273"/>
      <c r="H4" s="273"/>
      <c r="I4" s="273"/>
      <c r="J4" s="273"/>
      <c r="K4" s="88"/>
      <c r="L4" s="113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</row>
    <row r="5" spans="2:27" s="58" customFormat="1" ht="37.5" customHeight="1" thickBot="1" x14ac:dyDescent="0.3">
      <c r="B5" s="29" t="s">
        <v>34</v>
      </c>
      <c r="C5" s="30"/>
      <c r="D5" s="29" t="s">
        <v>35</v>
      </c>
      <c r="E5" s="30"/>
      <c r="F5" s="29" t="s">
        <v>6</v>
      </c>
      <c r="G5" s="30"/>
      <c r="H5" s="92" t="s">
        <v>18</v>
      </c>
      <c r="I5" s="93"/>
      <c r="J5" s="92" t="s">
        <v>50</v>
      </c>
      <c r="K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</row>
    <row r="6" spans="2:27" s="23" customFormat="1" ht="36.75" customHeight="1" x14ac:dyDescent="0.3">
      <c r="B6" s="10" t="s">
        <v>42</v>
      </c>
      <c r="C6" s="24"/>
      <c r="D6" s="25" t="s">
        <v>46</v>
      </c>
      <c r="E6" s="26"/>
      <c r="F6" s="57">
        <f>'درآمد سرمایه گذاری در سهام '!I22</f>
        <v>-158580168403</v>
      </c>
      <c r="G6" s="26"/>
      <c r="H6" s="221">
        <f>F6/F10</f>
        <v>1.0033769893556237</v>
      </c>
      <c r="I6" s="94"/>
      <c r="J6" s="311">
        <f>F10/2646654102624</f>
        <v>-5.9715565806769517E-2</v>
      </c>
      <c r="K6" s="101"/>
      <c r="L6" s="74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90"/>
      <c r="Z6" s="90"/>
      <c r="AA6" s="90"/>
    </row>
    <row r="7" spans="2:27" s="23" customFormat="1" ht="36.75" customHeight="1" x14ac:dyDescent="0.3">
      <c r="B7" s="10" t="s">
        <v>134</v>
      </c>
      <c r="C7" s="24"/>
      <c r="D7" s="25" t="s">
        <v>47</v>
      </c>
      <c r="E7" s="26"/>
      <c r="F7" s="57">
        <f>'سرمایه گذاری در اوراق بهادار'!K16</f>
        <v>416739843</v>
      </c>
      <c r="G7" s="26"/>
      <c r="H7" s="221">
        <f>F7/F10</f>
        <v>-2.6368187978665614E-3</v>
      </c>
      <c r="I7" s="94"/>
      <c r="J7" s="312"/>
      <c r="K7" s="101"/>
      <c r="L7" s="74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90"/>
      <c r="Z7" s="90"/>
      <c r="AA7" s="90"/>
    </row>
    <row r="8" spans="2:27" s="23" customFormat="1" ht="36.75" customHeight="1" x14ac:dyDescent="0.3">
      <c r="B8" s="10" t="s">
        <v>43</v>
      </c>
      <c r="C8" s="24"/>
      <c r="D8" s="25" t="s">
        <v>128</v>
      </c>
      <c r="E8" s="26"/>
      <c r="F8" s="57">
        <v>28068332</v>
      </c>
      <c r="G8" s="26"/>
      <c r="H8" s="221">
        <v>-3.0251701716004414E-4</v>
      </c>
      <c r="I8" s="94"/>
      <c r="J8" s="312"/>
      <c r="K8" s="101"/>
      <c r="L8" s="74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90"/>
      <c r="Z8" s="90"/>
      <c r="AA8" s="90"/>
    </row>
    <row r="9" spans="2:27" s="23" customFormat="1" ht="30.75" customHeight="1" thickBot="1" x14ac:dyDescent="0.35">
      <c r="B9" s="10" t="s">
        <v>159</v>
      </c>
      <c r="C9" s="24"/>
      <c r="D9" s="25"/>
      <c r="E9" s="26"/>
      <c r="F9" s="252">
        <f>'سایر درآمدها'!B9</f>
        <v>88912995</v>
      </c>
      <c r="G9" s="26"/>
      <c r="H9" s="221">
        <f>F9/F10</f>
        <v>-5.6257509457912714E-4</v>
      </c>
      <c r="I9" s="94"/>
      <c r="J9" s="313"/>
      <c r="K9" s="101"/>
      <c r="L9" s="114"/>
      <c r="M9" s="72"/>
      <c r="N9" s="72"/>
      <c r="O9" s="101"/>
      <c r="P9" s="101"/>
      <c r="Q9" s="101"/>
      <c r="R9" s="101"/>
      <c r="S9" s="101"/>
      <c r="T9" s="101"/>
      <c r="U9" s="90"/>
      <c r="V9" s="90"/>
      <c r="W9" s="90"/>
      <c r="X9" s="90"/>
      <c r="Y9" s="90"/>
      <c r="Z9" s="90"/>
      <c r="AA9" s="90"/>
    </row>
    <row r="10" spans="2:27" s="23" customFormat="1" ht="33.75" customHeight="1" thickBot="1" x14ac:dyDescent="0.35">
      <c r="B10" s="24" t="s">
        <v>2</v>
      </c>
      <c r="C10" s="27"/>
      <c r="F10" s="56">
        <f>SUM(F6:F9)</f>
        <v>-158046447233</v>
      </c>
      <c r="H10" s="95">
        <f>SUM(H6:H9)</f>
        <v>0.99987507844601808</v>
      </c>
      <c r="I10" s="96"/>
      <c r="J10" s="95">
        <f>SUM(J6)</f>
        <v>-5.9715565806769517E-2</v>
      </c>
      <c r="K10" s="90"/>
      <c r="L10" s="72"/>
      <c r="M10" s="72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 spans="2:27" ht="16.5" customHeight="1" thickTop="1" x14ac:dyDescent="0.25">
      <c r="M11" s="72"/>
    </row>
    <row r="12" spans="2:27" x14ac:dyDescent="0.25">
      <c r="H12" s="100"/>
      <c r="M12" s="181"/>
    </row>
    <row r="13" spans="2:27" x14ac:dyDescent="0.25">
      <c r="L13" s="71"/>
    </row>
  </sheetData>
  <customSheetViews>
    <customSheetView guid="{9B1DBD13-10C2-4EFD-B3C9-81858DAEB6DD}" showPageBreaks="1" printArea="1">
      <selection activeCell="B3" sqref="B3:J3"/>
      <pageMargins left="0.7" right="0.7" top="0.75" bottom="0.75" header="0.3" footer="0.3"/>
      <printOptions horizontalCentered="1"/>
      <pageSetup scale="90" orientation="portrait" r:id="rId1"/>
    </customSheetView>
    <customSheetView guid="{0FB03AA2-1E4C-49B5-A51E-AA30FB031C6E}">
      <selection activeCell="B3" sqref="B3:J3"/>
      <pageMargins left="0.7" right="0.7" top="0.75" bottom="0.75" header="0.3" footer="0.3"/>
      <printOptions horizontalCentered="1"/>
      <pageSetup scale="90" orientation="portrait" r:id="rId2"/>
    </customSheetView>
  </customSheetViews>
  <mergeCells count="5">
    <mergeCell ref="B1:J1"/>
    <mergeCell ref="B2:J2"/>
    <mergeCell ref="B3:J3"/>
    <mergeCell ref="B4:J4"/>
    <mergeCell ref="J6:J9"/>
  </mergeCells>
  <pageMargins left="0.7" right="0.7" top="0.75" bottom="0.75" header="0.3" footer="0.3"/>
  <pageSetup scale="74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26"/>
  <sheetViews>
    <sheetView rightToLeft="1" topLeftCell="A5" zoomScaleNormal="100" zoomScaleSheetLayoutView="110" workbookViewId="0">
      <selection activeCell="E22" sqref="E22"/>
    </sheetView>
  </sheetViews>
  <sheetFormatPr defaultRowHeight="15.75" x14ac:dyDescent="0.4"/>
  <cols>
    <col min="1" max="1" width="27.5703125" style="1" customWidth="1"/>
    <col min="2" max="2" width="0.5703125" style="1" customWidth="1"/>
    <col min="3" max="3" width="16" style="1" customWidth="1"/>
    <col min="4" max="4" width="0.42578125" style="1" customWidth="1"/>
    <col min="5" max="5" width="24.5703125" style="1" customWidth="1"/>
    <col min="6" max="6" width="0.85546875" style="1" customWidth="1"/>
    <col min="7" max="7" width="18.5703125" style="1" customWidth="1"/>
    <col min="8" max="8" width="0.7109375" style="1" customWidth="1"/>
    <col min="9" max="9" width="22" style="1" customWidth="1"/>
    <col min="10" max="10" width="0.85546875" style="1" customWidth="1"/>
    <col min="11" max="11" width="14.5703125" style="1" customWidth="1"/>
    <col min="12" max="12" width="0.7109375" style="1" customWidth="1"/>
    <col min="13" max="13" width="18.85546875" style="1" bestFit="1" customWidth="1"/>
    <col min="14" max="14" width="0.5703125" style="1" customWidth="1"/>
    <col min="15" max="15" width="20.140625" style="1" customWidth="1"/>
    <col min="16" max="16" width="0.42578125" style="1" customWidth="1"/>
    <col min="17" max="17" width="19" style="1" customWidth="1"/>
    <col min="18" max="18" width="0.5703125" style="1" customWidth="1"/>
    <col min="19" max="19" width="20.85546875" style="1" bestFit="1" customWidth="1"/>
    <col min="20" max="20" width="0.5703125" style="1" customWidth="1"/>
    <col min="21" max="21" width="14.85546875" style="1" customWidth="1"/>
    <col min="22" max="22" width="0.85546875" style="81" customWidth="1"/>
    <col min="23" max="23" width="9.140625" style="1"/>
    <col min="24" max="24" width="22" style="1" bestFit="1" customWidth="1"/>
    <col min="25" max="16384" width="9.140625" style="1"/>
  </cols>
  <sheetData>
    <row r="1" spans="1:25" ht="21.75" x14ac:dyDescent="0.55000000000000004">
      <c r="A1" s="279" t="s">
        <v>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5" ht="21.75" x14ac:dyDescent="0.55000000000000004">
      <c r="A2" s="279" t="s">
        <v>48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spans="1:25" ht="21.75" x14ac:dyDescent="0.55000000000000004">
      <c r="A3" s="279" t="str">
        <f>درآمدها!B3</f>
        <v>برای ماه منتهی به 31 خرداد 1402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</row>
    <row r="5" spans="1:25" ht="25.5" x14ac:dyDescent="0.4">
      <c r="A5" s="273" t="s">
        <v>28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</row>
    <row r="7" spans="1:25" s="69" customFormat="1" ht="30" customHeight="1" x14ac:dyDescent="0.25">
      <c r="A7" s="169"/>
      <c r="B7" s="32"/>
      <c r="C7" s="314" t="s">
        <v>166</v>
      </c>
      <c r="D7" s="314"/>
      <c r="E7" s="314"/>
      <c r="F7" s="314"/>
      <c r="G7" s="314"/>
      <c r="H7" s="314"/>
      <c r="I7" s="314"/>
      <c r="J7" s="314"/>
      <c r="K7" s="314"/>
      <c r="L7" s="32"/>
      <c r="M7" s="314" t="s">
        <v>167</v>
      </c>
      <c r="N7" s="314"/>
      <c r="O7" s="314"/>
      <c r="P7" s="314"/>
      <c r="Q7" s="314"/>
      <c r="R7" s="314"/>
      <c r="S7" s="314"/>
      <c r="T7" s="314"/>
      <c r="U7" s="314"/>
      <c r="V7" s="82"/>
    </row>
    <row r="8" spans="1:25" s="5" customFormat="1" ht="27" customHeight="1" x14ac:dyDescent="0.5">
      <c r="A8" s="301" t="s">
        <v>24</v>
      </c>
      <c r="B8" s="13"/>
      <c r="C8" s="315" t="s">
        <v>12</v>
      </c>
      <c r="D8" s="13"/>
      <c r="E8" s="315" t="s">
        <v>13</v>
      </c>
      <c r="F8" s="13"/>
      <c r="G8" s="315" t="s">
        <v>14</v>
      </c>
      <c r="H8" s="13"/>
      <c r="I8" s="314" t="s">
        <v>2</v>
      </c>
      <c r="J8" s="314"/>
      <c r="K8" s="314"/>
      <c r="L8" s="13"/>
      <c r="M8" s="315" t="s">
        <v>12</v>
      </c>
      <c r="N8" s="13"/>
      <c r="O8" s="315" t="s">
        <v>13</v>
      </c>
      <c r="P8" s="13"/>
      <c r="Q8" s="315" t="s">
        <v>14</v>
      </c>
      <c r="R8" s="13"/>
      <c r="S8" s="314" t="s">
        <v>2</v>
      </c>
      <c r="T8" s="314"/>
      <c r="U8" s="314"/>
      <c r="V8" s="83"/>
    </row>
    <row r="9" spans="1:25" s="5" customFormat="1" ht="35.25" customHeight="1" x14ac:dyDescent="0.5">
      <c r="A9" s="316"/>
      <c r="B9" s="13"/>
      <c r="C9" s="314"/>
      <c r="D9" s="13"/>
      <c r="E9" s="314"/>
      <c r="F9" s="13"/>
      <c r="G9" s="314"/>
      <c r="H9" s="13"/>
      <c r="I9" s="168" t="s">
        <v>6</v>
      </c>
      <c r="J9" s="54"/>
      <c r="K9" s="168" t="s">
        <v>15</v>
      </c>
      <c r="L9" s="13"/>
      <c r="M9" s="314"/>
      <c r="N9" s="13"/>
      <c r="O9" s="314"/>
      <c r="P9" s="13"/>
      <c r="Q9" s="314"/>
      <c r="R9" s="13"/>
      <c r="S9" s="172" t="s">
        <v>6</v>
      </c>
      <c r="T9" s="54"/>
      <c r="U9" s="168" t="s">
        <v>15</v>
      </c>
      <c r="V9" s="126">
        <v>112550132</v>
      </c>
      <c r="X9" s="194"/>
    </row>
    <row r="10" spans="1:25" s="5" customFormat="1" ht="30" customHeight="1" x14ac:dyDescent="0.5">
      <c r="A10" s="41" t="s">
        <v>52</v>
      </c>
      <c r="B10" s="13"/>
      <c r="C10" s="160">
        <v>0</v>
      </c>
      <c r="D10" s="161"/>
      <c r="E10" s="162">
        <f>'درآمد ناشی از تغییر قیمت اوراق '!I7</f>
        <v>-3061563070</v>
      </c>
      <c r="F10" s="161"/>
      <c r="G10" s="162">
        <f>'درآمد ناشی ازفروش'!H7</f>
        <v>422017706</v>
      </c>
      <c r="H10" s="161"/>
      <c r="I10" s="162">
        <f t="shared" ref="I10:I14" si="0">SUM(C10:G10)</f>
        <v>-2639545364</v>
      </c>
      <c r="J10" s="160"/>
      <c r="K10" s="200">
        <f>I10/درآمدها!F10</f>
        <v>1.6701073704672713E-2</v>
      </c>
      <c r="L10" s="161"/>
      <c r="M10" s="160">
        <v>0</v>
      </c>
      <c r="N10" s="161"/>
      <c r="O10" s="162">
        <f>'درآمد ناشی از تغییر قیمت اوراق '!Q7</f>
        <v>-2622366899</v>
      </c>
      <c r="P10" s="161"/>
      <c r="Q10" s="162">
        <f>'درآمد ناشی ازفروش'!P8</f>
        <v>142357404199</v>
      </c>
      <c r="R10" s="161"/>
      <c r="S10" s="173">
        <f>SUM(M10:Q10)</f>
        <v>139735037300</v>
      </c>
      <c r="T10" s="162"/>
      <c r="U10" s="178">
        <f>S10/476144113256</f>
        <v>0.29347215141326577</v>
      </c>
      <c r="V10" s="97">
        <v>9329045800</v>
      </c>
      <c r="X10" s="204"/>
      <c r="Y10" s="195"/>
    </row>
    <row r="11" spans="1:25" s="5" customFormat="1" ht="30" customHeight="1" x14ac:dyDescent="0.5">
      <c r="A11" s="42" t="s">
        <v>59</v>
      </c>
      <c r="B11" s="13"/>
      <c r="C11" s="160">
        <v>0</v>
      </c>
      <c r="D11" s="161"/>
      <c r="E11" s="162">
        <f>'درآمد ناشی از تغییر قیمت اوراق '!I8</f>
        <v>-23591377553</v>
      </c>
      <c r="F11" s="161"/>
      <c r="G11" s="162">
        <f>'درآمد ناشی ازفروش'!H8</f>
        <v>12379635113</v>
      </c>
      <c r="H11" s="236">
        <f>'درآمد سپرده بانکی'!E13</f>
        <v>1957220</v>
      </c>
      <c r="I11" s="162">
        <f t="shared" si="0"/>
        <v>-11211742440</v>
      </c>
      <c r="J11" s="162"/>
      <c r="K11" s="200">
        <f>I11/درآمدها!$F$10</f>
        <v>7.0939541105097328E-2</v>
      </c>
      <c r="L11" s="161"/>
      <c r="M11" s="160">
        <v>0</v>
      </c>
      <c r="N11" s="161"/>
      <c r="O11" s="163">
        <f>'درآمد ناشی از تغییر قیمت اوراق '!Q8</f>
        <v>84790393933</v>
      </c>
      <c r="P11" s="161"/>
      <c r="Q11" s="162">
        <f>'درآمد ناشی ازفروش'!P7</f>
        <v>15498201977</v>
      </c>
      <c r="R11" s="161"/>
      <c r="S11" s="173">
        <f t="shared" ref="S11:S21" si="1">SUM(M11:Q11)</f>
        <v>100288595910</v>
      </c>
      <c r="T11" s="162"/>
      <c r="U11" s="178">
        <f t="shared" ref="U11:U21" si="2">S11/476144113256</f>
        <v>0.21062655846819134</v>
      </c>
      <c r="V11" s="108">
        <v>-20811297538</v>
      </c>
      <c r="X11" s="205"/>
      <c r="Y11" s="195"/>
    </row>
    <row r="12" spans="1:25" s="5" customFormat="1" ht="30" customHeight="1" x14ac:dyDescent="0.5">
      <c r="A12" s="42" t="s">
        <v>72</v>
      </c>
      <c r="B12" s="13"/>
      <c r="C12" s="160">
        <v>0</v>
      </c>
      <c r="D12" s="161"/>
      <c r="E12" s="162">
        <f>'درآمد ناشی از تغییر قیمت اوراق '!I9</f>
        <v>-79431050416</v>
      </c>
      <c r="F12" s="161"/>
      <c r="G12" s="162">
        <f>'درآمد ناشی ازفروش'!H9</f>
        <v>64943418</v>
      </c>
      <c r="H12" s="161"/>
      <c r="I12" s="162">
        <f t="shared" si="0"/>
        <v>-79366106998</v>
      </c>
      <c r="J12" s="162"/>
      <c r="K12" s="200">
        <f>I12/درآمدها!$F$10</f>
        <v>0.50216951021363043</v>
      </c>
      <c r="L12" s="161"/>
      <c r="M12" s="160">
        <v>0</v>
      </c>
      <c r="N12" s="161"/>
      <c r="O12" s="163">
        <f>'درآمد ناشی از تغییر قیمت اوراق '!Q9</f>
        <v>-42715350863</v>
      </c>
      <c r="P12" s="161"/>
      <c r="Q12" s="162">
        <f>'درآمد ناشی ازفروش'!P9</f>
        <v>17940834186</v>
      </c>
      <c r="R12" s="161"/>
      <c r="S12" s="173">
        <f t="shared" si="1"/>
        <v>-24774516677</v>
      </c>
      <c r="T12" s="162"/>
      <c r="U12" s="178">
        <f t="shared" si="2"/>
        <v>-5.203155092601118E-2</v>
      </c>
      <c r="V12" s="108"/>
      <c r="X12" s="195"/>
      <c r="Y12" s="195"/>
    </row>
    <row r="13" spans="1:25" s="5" customFormat="1" ht="30" customHeight="1" x14ac:dyDescent="0.5">
      <c r="A13" s="42" t="s">
        <v>77</v>
      </c>
      <c r="B13" s="13"/>
      <c r="C13" s="160">
        <v>0</v>
      </c>
      <c r="D13" s="161"/>
      <c r="E13" s="162">
        <f>'درآمد ناشی از تغییر قیمت اوراق '!I10</f>
        <v>-60494706424</v>
      </c>
      <c r="F13" s="161"/>
      <c r="G13" s="162">
        <f>'درآمد ناشی ازفروش'!H10</f>
        <v>1377405104</v>
      </c>
      <c r="H13" s="161"/>
      <c r="I13" s="162">
        <f t="shared" si="0"/>
        <v>-59117301320</v>
      </c>
      <c r="J13" s="162"/>
      <c r="K13" s="200">
        <f>I13/درآمدها!$F$10</f>
        <v>0.37405017547054575</v>
      </c>
      <c r="L13" s="161"/>
      <c r="M13" s="160">
        <v>0</v>
      </c>
      <c r="N13" s="161"/>
      <c r="O13" s="163">
        <f>'درآمد ناشی از تغییر قیمت اوراق '!Q10</f>
        <v>5366843672</v>
      </c>
      <c r="P13" s="161"/>
      <c r="Q13" s="162">
        <f>'درآمد ناشی ازفروش'!P10</f>
        <v>13514923754</v>
      </c>
      <c r="R13" s="161"/>
      <c r="S13" s="173">
        <f t="shared" si="1"/>
        <v>18881767426</v>
      </c>
      <c r="T13" s="162"/>
      <c r="U13" s="178">
        <f t="shared" si="2"/>
        <v>3.9655572546894377E-2</v>
      </c>
      <c r="V13" s="108"/>
      <c r="X13" s="195"/>
      <c r="Y13" s="195"/>
    </row>
    <row r="14" spans="1:25" s="5" customFormat="1" ht="30" customHeight="1" x14ac:dyDescent="0.5">
      <c r="A14" s="42" t="s">
        <v>78</v>
      </c>
      <c r="B14" s="13"/>
      <c r="C14" s="160">
        <v>0</v>
      </c>
      <c r="D14" s="161"/>
      <c r="E14" s="162">
        <f>'درآمد ناشی از تغییر قیمت اوراق '!I11</f>
        <v>-17545974469</v>
      </c>
      <c r="F14" s="161"/>
      <c r="G14" s="162">
        <f>'درآمد ناشی ازفروش'!H11</f>
        <v>3435536774</v>
      </c>
      <c r="H14" s="161"/>
      <c r="I14" s="162">
        <f t="shared" si="0"/>
        <v>-14110437695</v>
      </c>
      <c r="J14" s="162"/>
      <c r="K14" s="200">
        <f>I14/درآمدها!$F$10</f>
        <v>8.9280321968880985E-2</v>
      </c>
      <c r="L14" s="161"/>
      <c r="M14" s="160">
        <v>0</v>
      </c>
      <c r="N14" s="161"/>
      <c r="O14" s="163">
        <f>'درآمد ناشی از تغییر قیمت اوراق '!Q11</f>
        <v>26473641016</v>
      </c>
      <c r="P14" s="161"/>
      <c r="Q14" s="162">
        <f>'درآمد ناشی ازفروش'!P11</f>
        <v>27200590773</v>
      </c>
      <c r="R14" s="161"/>
      <c r="S14" s="173">
        <f t="shared" si="1"/>
        <v>53674231789</v>
      </c>
      <c r="T14" s="162"/>
      <c r="U14" s="178">
        <f t="shared" si="2"/>
        <v>0.11272686208795345</v>
      </c>
      <c r="V14" s="108"/>
      <c r="X14" s="195"/>
      <c r="Y14" s="195"/>
    </row>
    <row r="15" spans="1:25" s="5" customFormat="1" ht="30" customHeight="1" x14ac:dyDescent="0.5">
      <c r="A15" s="42" t="s">
        <v>95</v>
      </c>
      <c r="B15" s="13"/>
      <c r="C15" s="227">
        <v>0</v>
      </c>
      <c r="D15" s="228"/>
      <c r="E15" s="229">
        <f>'درآمد ناشی از تغییر قیمت اوراق '!I12</f>
        <v>5992428240</v>
      </c>
      <c r="F15" s="228"/>
      <c r="G15" s="229">
        <f>'درآمد ناشی ازفروش'!H12</f>
        <v>137995823</v>
      </c>
      <c r="H15" s="228"/>
      <c r="I15" s="229">
        <f>SUM(C15:G15)</f>
        <v>6130424063</v>
      </c>
      <c r="J15" s="229"/>
      <c r="K15" s="200">
        <f>I15/درآمدها!$F$10</f>
        <v>-3.8788749575384134E-2</v>
      </c>
      <c r="L15" s="228"/>
      <c r="M15" s="227">
        <v>0</v>
      </c>
      <c r="N15" s="228"/>
      <c r="O15" s="163">
        <f>'درآمد ناشی از تغییر قیمت اوراق '!Q12</f>
        <v>1465679453</v>
      </c>
      <c r="P15" s="228"/>
      <c r="Q15" s="229">
        <f>'درآمد ناشی ازفروش'!P12</f>
        <v>9489828163</v>
      </c>
      <c r="R15" s="228"/>
      <c r="S15" s="230">
        <f t="shared" si="1"/>
        <v>10955507616</v>
      </c>
      <c r="T15" s="229"/>
      <c r="U15" s="178">
        <f t="shared" si="2"/>
        <v>2.3008806180723998E-2</v>
      </c>
      <c r="V15" s="108"/>
      <c r="X15" s="195"/>
      <c r="Y15" s="195"/>
    </row>
    <row r="16" spans="1:25" s="5" customFormat="1" ht="30" customHeight="1" x14ac:dyDescent="0.5">
      <c r="A16" s="42" t="s">
        <v>168</v>
      </c>
      <c r="B16" s="13"/>
      <c r="C16" s="227"/>
      <c r="D16" s="228"/>
      <c r="E16" s="229">
        <f>'درآمد ناشی از تغییر قیمت اوراق '!I13</f>
        <v>373666953</v>
      </c>
      <c r="F16" s="228"/>
      <c r="G16" s="229"/>
      <c r="H16" s="228"/>
      <c r="I16" s="229">
        <f>SUM(C16:G16)</f>
        <v>373666953</v>
      </c>
      <c r="J16" s="229"/>
      <c r="K16" s="200"/>
      <c r="L16" s="228"/>
      <c r="M16" s="227"/>
      <c r="N16" s="228"/>
      <c r="O16" s="163"/>
      <c r="P16" s="228"/>
      <c r="Q16" s="229"/>
      <c r="R16" s="228"/>
      <c r="S16" s="230"/>
      <c r="T16" s="229"/>
      <c r="U16" s="178"/>
      <c r="V16" s="108"/>
      <c r="X16" s="195"/>
      <c r="Y16" s="195"/>
    </row>
    <row r="17" spans="1:25" s="5" customFormat="1" ht="30" customHeight="1" x14ac:dyDescent="0.5">
      <c r="A17" s="42" t="s">
        <v>74</v>
      </c>
      <c r="B17" s="13"/>
      <c r="C17" s="160">
        <v>0</v>
      </c>
      <c r="D17" s="161"/>
      <c r="E17" s="229">
        <f>'درآمد ناشی از تغییر قیمت اوراق '!I14</f>
        <v>0</v>
      </c>
      <c r="F17" s="161"/>
      <c r="G17" s="160">
        <f>'درآمد ناشی ازفروش'!H13</f>
        <v>168672502</v>
      </c>
      <c r="H17" s="161"/>
      <c r="I17" s="162">
        <f>SUM(C17:G17)</f>
        <v>168672502</v>
      </c>
      <c r="J17" s="162"/>
      <c r="K17" s="200">
        <f>I17/درآمدها!$F$10</f>
        <v>-1.0672337464905778E-3</v>
      </c>
      <c r="L17" s="161"/>
      <c r="M17" s="160" t="s">
        <v>54</v>
      </c>
      <c r="N17" s="161"/>
      <c r="O17" s="160">
        <f>'درآمد ناشی از تغییر قیمت اوراق '!Q14</f>
        <v>0</v>
      </c>
      <c r="P17" s="161"/>
      <c r="Q17" s="162">
        <v>0</v>
      </c>
      <c r="R17" s="161"/>
      <c r="S17" s="173">
        <f t="shared" si="1"/>
        <v>0</v>
      </c>
      <c r="T17" s="162"/>
      <c r="U17" s="178">
        <f t="shared" si="2"/>
        <v>0</v>
      </c>
      <c r="V17" s="108"/>
      <c r="X17" s="195"/>
      <c r="Y17" s="195"/>
    </row>
    <row r="18" spans="1:25" s="5" customFormat="1" ht="30" customHeight="1" x14ac:dyDescent="0.5">
      <c r="A18" s="42" t="s">
        <v>87</v>
      </c>
      <c r="B18" s="13"/>
      <c r="C18" s="160">
        <v>0</v>
      </c>
      <c r="D18" s="161"/>
      <c r="E18" s="229">
        <f>'درآمد ناشی از تغییر قیمت اوراق '!I18</f>
        <v>-135013383</v>
      </c>
      <c r="F18" s="161"/>
      <c r="G18" s="162">
        <f>'درآمد ناشی ازفروش'!H17</f>
        <v>419869678</v>
      </c>
      <c r="H18" s="161"/>
      <c r="I18" s="162">
        <f>SUM(C18:G18)</f>
        <v>284856295</v>
      </c>
      <c r="J18" s="162"/>
      <c r="K18" s="200">
        <f>I18/درآمدها!$F$10</f>
        <v>-1.8023581041341002E-3</v>
      </c>
      <c r="L18" s="161"/>
      <c r="M18" s="160" t="s">
        <v>54</v>
      </c>
      <c r="N18" s="161"/>
      <c r="O18" s="160">
        <f>'درآمد ناشی از تغییر قیمت اوراق '!Q18</f>
        <v>111686651</v>
      </c>
      <c r="P18" s="161"/>
      <c r="Q18" s="162">
        <v>0</v>
      </c>
      <c r="R18" s="161"/>
      <c r="S18" s="173">
        <f t="shared" si="1"/>
        <v>111686651</v>
      </c>
      <c r="T18" s="162"/>
      <c r="U18" s="178">
        <f t="shared" si="2"/>
        <v>2.3456480483662184E-4</v>
      </c>
      <c r="V18" s="108"/>
      <c r="X18" s="195"/>
      <c r="Y18" s="195"/>
    </row>
    <row r="19" spans="1:25" s="5" customFormat="1" ht="30" customHeight="1" x14ac:dyDescent="0.5">
      <c r="A19" s="42" t="s">
        <v>86</v>
      </c>
      <c r="B19" s="13"/>
      <c r="C19" s="160">
        <v>0</v>
      </c>
      <c r="D19" s="160" t="s">
        <v>54</v>
      </c>
      <c r="E19" s="229">
        <f>'درآمد ناشی از تغییر قیمت اوراق '!I17</f>
        <v>0</v>
      </c>
      <c r="F19" s="161"/>
      <c r="G19" s="162">
        <f>'درآمد ناشی ازفروش'!H16</f>
        <v>369657985</v>
      </c>
      <c r="H19" s="161"/>
      <c r="I19" s="162">
        <f>SUM(C19:G19)</f>
        <v>369657985</v>
      </c>
      <c r="J19" s="162"/>
      <c r="K19" s="200">
        <f>I19/درآمدها!$F$10</f>
        <v>-2.3389199281084226E-3</v>
      </c>
      <c r="L19" s="161"/>
      <c r="M19" s="160" t="s">
        <v>54</v>
      </c>
      <c r="N19" s="161"/>
      <c r="O19" s="160">
        <f>'درآمد ناشی از تغییر قیمت اوراق '!Q17</f>
        <v>0</v>
      </c>
      <c r="P19" s="161"/>
      <c r="Q19" s="162">
        <f>'درآمد ناشی ازفروش'!P13</f>
        <v>646157507</v>
      </c>
      <c r="R19" s="161"/>
      <c r="S19" s="173">
        <f t="shared" si="1"/>
        <v>646157507</v>
      </c>
      <c r="T19" s="162"/>
      <c r="U19" s="178">
        <f t="shared" si="2"/>
        <v>1.3570628912776075E-3</v>
      </c>
      <c r="V19" s="108"/>
      <c r="X19" s="195"/>
      <c r="Y19" s="195"/>
    </row>
    <row r="20" spans="1:25" s="5" customFormat="1" ht="30" customHeight="1" x14ac:dyDescent="0.5">
      <c r="A20" s="42" t="s">
        <v>102</v>
      </c>
      <c r="B20" s="13"/>
      <c r="C20" s="160">
        <v>0</v>
      </c>
      <c r="D20" s="160"/>
      <c r="E20" s="229">
        <f>'درآمد ناشی از تغییر قیمت اوراق '!I15</f>
        <v>0</v>
      </c>
      <c r="F20" s="161"/>
      <c r="G20" s="162">
        <f>'درآمد ناشی ازفروش'!H14</f>
        <v>446487954</v>
      </c>
      <c r="H20" s="161"/>
      <c r="I20" s="162">
        <f>C20+E20+G20</f>
        <v>446487954</v>
      </c>
      <c r="J20" s="162"/>
      <c r="K20" s="200">
        <f>I20/درآمدها!$F$10</f>
        <v>-2.8250426492774307E-3</v>
      </c>
      <c r="L20" s="161"/>
      <c r="M20" s="160"/>
      <c r="N20" s="161"/>
      <c r="O20" s="163">
        <f>'درآمد ناشی از تغییر قیمت اوراق '!Q15</f>
        <v>0</v>
      </c>
      <c r="P20" s="161"/>
      <c r="Q20" s="162">
        <f>'درآمد ناشی ازفروش'!P14</f>
        <v>3803968589</v>
      </c>
      <c r="R20" s="161"/>
      <c r="S20" s="173">
        <f t="shared" si="1"/>
        <v>3803968589</v>
      </c>
      <c r="T20" s="162"/>
      <c r="U20" s="178">
        <f t="shared" si="2"/>
        <v>7.9891118741077186E-3</v>
      </c>
      <c r="V20" s="108"/>
      <c r="X20" s="195"/>
      <c r="Y20" s="195"/>
    </row>
    <row r="21" spans="1:25" s="5" customFormat="1" ht="30" customHeight="1" x14ac:dyDescent="0.5">
      <c r="A21" s="42" t="s">
        <v>104</v>
      </c>
      <c r="B21" s="13"/>
      <c r="C21" s="170">
        <v>0</v>
      </c>
      <c r="D21" s="170"/>
      <c r="E21" s="229">
        <f>'درآمد ناشی از تغییر قیمت اوراق '!I16</f>
        <v>-196097579</v>
      </c>
      <c r="F21" s="231"/>
      <c r="G21" s="171">
        <f>'درآمد ناشی ازفروش'!H15</f>
        <v>287297241</v>
      </c>
      <c r="H21" s="231"/>
      <c r="I21" s="171">
        <f>C21+E21+G21</f>
        <v>91199662</v>
      </c>
      <c r="J21" s="171"/>
      <c r="K21" s="200">
        <f>I21/درآمدها!$F$10</f>
        <v>-5.7704341727814277E-4</v>
      </c>
      <c r="L21" s="231"/>
      <c r="M21" s="170"/>
      <c r="N21" s="231"/>
      <c r="O21" s="232">
        <f>'درآمد ناشی از تغییر قیمت اوراق '!Q16</f>
        <v>59803002</v>
      </c>
      <c r="P21" s="231"/>
      <c r="Q21" s="171">
        <f>'درآمد ناشی ازفروش'!P16</f>
        <v>1943959542</v>
      </c>
      <c r="R21" s="231"/>
      <c r="S21" s="174">
        <f t="shared" si="1"/>
        <v>2003762544</v>
      </c>
      <c r="T21" s="171"/>
      <c r="U21" s="178">
        <f t="shared" si="2"/>
        <v>4.2083110726660869E-3</v>
      </c>
      <c r="V21" s="108"/>
      <c r="X21" s="195"/>
      <c r="Y21" s="195"/>
    </row>
    <row r="22" spans="1:25" s="44" customFormat="1" ht="30" customHeight="1" thickBot="1" x14ac:dyDescent="0.6">
      <c r="A22" s="67" t="s">
        <v>2</v>
      </c>
      <c r="B22" s="68"/>
      <c r="C22" s="164">
        <f>SUM(C10:C21)</f>
        <v>0</v>
      </c>
      <c r="D22" s="165"/>
      <c r="E22" s="166">
        <f>SUM(E10:E21)</f>
        <v>-178089687701</v>
      </c>
      <c r="F22" s="165"/>
      <c r="G22" s="166">
        <f>SUM(G10:G21)</f>
        <v>19509519298</v>
      </c>
      <c r="H22" s="165"/>
      <c r="I22" s="166">
        <f>SUM(I10:I21)</f>
        <v>-158580168403</v>
      </c>
      <c r="J22" s="167"/>
      <c r="K22" s="251">
        <f>SUM(K10:K21)</f>
        <v>1.0057412750421544</v>
      </c>
      <c r="L22" s="165"/>
      <c r="M22" s="164">
        <f>SUM(M10:M21)</f>
        <v>0</v>
      </c>
      <c r="N22" s="165"/>
      <c r="O22" s="166">
        <f>SUM(O10:O21)</f>
        <v>72930329965</v>
      </c>
      <c r="P22" s="165"/>
      <c r="Q22" s="166">
        <f>SUM(Q10:Q21)</f>
        <v>232395868690</v>
      </c>
      <c r="R22" s="165"/>
      <c r="S22" s="175">
        <f>SUM(S10:S21)</f>
        <v>305326198655</v>
      </c>
      <c r="T22" s="167"/>
      <c r="U22" s="264">
        <f>SUM(U10:U21)</f>
        <v>0.64124745041390563</v>
      </c>
      <c r="V22" s="84"/>
      <c r="X22" s="196"/>
      <c r="Y22" s="196"/>
    </row>
    <row r="23" spans="1:25" ht="16.5" thickTop="1" x14ac:dyDescent="0.4"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</row>
    <row r="24" spans="1:25" s="73" customFormat="1" x14ac:dyDescent="0.4">
      <c r="I24" s="176"/>
      <c r="V24" s="177"/>
    </row>
    <row r="25" spans="1:25" x14ac:dyDescent="0.4">
      <c r="I25" s="138"/>
    </row>
    <row r="26" spans="1:25" x14ac:dyDescent="0.4">
      <c r="I26" s="125"/>
    </row>
  </sheetData>
  <customSheetViews>
    <customSheetView guid="{9B1DBD13-10C2-4EFD-B3C9-81858DAEB6DD}" showPageBreaks="1" printArea="1" hiddenColumns="1">
      <selection activeCell="U12" sqref="U12:U13"/>
      <pageMargins left="0.7" right="0.7" top="0.75" bottom="0.75" header="0.3" footer="0.3"/>
      <pageSetup scale="61" orientation="landscape" r:id="rId1"/>
    </customSheetView>
    <customSheetView guid="{0FB03AA2-1E4C-49B5-A51E-AA30FB031C6E}" hiddenColumns="1">
      <selection activeCell="U12" sqref="U12:U13"/>
      <pageMargins left="0.7" right="0.7" top="0.75" bottom="0.75" header="0.3" footer="0.3"/>
      <pageSetup scale="61" orientation="landscape" r:id="rId2"/>
    </customSheetView>
  </customSheetViews>
  <mergeCells count="15">
    <mergeCell ref="G8:G9"/>
    <mergeCell ref="E8:E9"/>
    <mergeCell ref="C8:C9"/>
    <mergeCell ref="A8:A9"/>
    <mergeCell ref="S8:U8"/>
    <mergeCell ref="I8:K8"/>
    <mergeCell ref="M8:M9"/>
    <mergeCell ref="O8:O9"/>
    <mergeCell ref="Q8:Q9"/>
    <mergeCell ref="M7:U7"/>
    <mergeCell ref="C7:K7"/>
    <mergeCell ref="A1:U1"/>
    <mergeCell ref="A2:U2"/>
    <mergeCell ref="A3:U3"/>
    <mergeCell ref="A5:U5"/>
  </mergeCells>
  <pageMargins left="0.7" right="0.7" top="0.75" bottom="0.75" header="0.3" footer="0.3"/>
  <pageSetup scale="54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rightToLeft="1" topLeftCell="A4" workbookViewId="0">
      <selection activeCell="O15" sqref="O15"/>
    </sheetView>
  </sheetViews>
  <sheetFormatPr defaultRowHeight="15" x14ac:dyDescent="0.25"/>
  <cols>
    <col min="2" max="2" width="1" customWidth="1"/>
    <col min="3" max="3" width="12.7109375" customWidth="1"/>
    <col min="4" max="4" width="1.140625" customWidth="1"/>
    <col min="5" max="5" width="15.140625" bestFit="1" customWidth="1"/>
    <col min="6" max="6" width="1.140625" customWidth="1"/>
    <col min="7" max="7" width="16.85546875" bestFit="1" customWidth="1"/>
    <col min="8" max="8" width="1.140625" customWidth="1"/>
    <col min="9" max="9" width="12.42578125" bestFit="1" customWidth="1"/>
    <col min="10" max="10" width="1" customWidth="1"/>
    <col min="11" max="11" width="15.28515625" bestFit="1" customWidth="1"/>
    <col min="12" max="12" width="0.85546875" customWidth="1"/>
    <col min="13" max="13" width="15.7109375" bestFit="1" customWidth="1"/>
    <col min="14" max="14" width="1.28515625" customWidth="1"/>
    <col min="15" max="15" width="16.85546875" bestFit="1" customWidth="1"/>
    <col min="16" max="16" width="1.140625" customWidth="1"/>
    <col min="17" max="17" width="12.7109375" bestFit="1" customWidth="1"/>
    <col min="18" max="18" width="1.140625" customWidth="1"/>
    <col min="19" max="19" width="15.28515625" bestFit="1" customWidth="1"/>
    <col min="20" max="20" width="0.85546875" customWidth="1"/>
  </cols>
  <sheetData>
    <row r="1" spans="1:21" ht="21.75" x14ac:dyDescent="0.55000000000000004">
      <c r="A1" s="279" t="s">
        <v>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</row>
    <row r="2" spans="1:21" ht="33.75" customHeight="1" x14ac:dyDescent="0.55000000000000004">
      <c r="A2" s="279" t="s">
        <v>130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spans="1:21" ht="33.75" customHeight="1" x14ac:dyDescent="0.55000000000000004">
      <c r="A3" s="279" t="str">
        <f>' سهام'!A3:Y3</f>
        <v>برای ماه منتهی به 31 خرداد 1402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</row>
    <row r="4" spans="1:21" ht="26.25" x14ac:dyDescent="0.25">
      <c r="A4" s="297" t="s">
        <v>127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</row>
    <row r="6" spans="1:21" ht="21.75" x14ac:dyDescent="0.55000000000000004">
      <c r="A6" s="317" t="s">
        <v>105</v>
      </c>
      <c r="B6" s="317"/>
      <c r="C6" s="317"/>
      <c r="D6" s="44"/>
      <c r="E6" s="319" t="s">
        <v>169</v>
      </c>
      <c r="F6" s="319"/>
      <c r="G6" s="319"/>
      <c r="H6" s="319"/>
      <c r="I6" s="319"/>
      <c r="J6" s="319"/>
      <c r="K6" s="319"/>
      <c r="L6" s="44"/>
      <c r="M6" s="319" t="s">
        <v>167</v>
      </c>
      <c r="N6" s="319"/>
      <c r="O6" s="319"/>
      <c r="P6" s="319"/>
      <c r="Q6" s="319"/>
      <c r="R6" s="319"/>
      <c r="S6" s="319"/>
      <c r="T6" s="319"/>
    </row>
    <row r="7" spans="1:21" ht="21.75" x14ac:dyDescent="0.55000000000000004">
      <c r="A7" s="317"/>
      <c r="B7" s="317"/>
      <c r="C7" s="317"/>
      <c r="D7" s="44"/>
      <c r="E7" s="30" t="s">
        <v>106</v>
      </c>
      <c r="F7" s="30"/>
      <c r="G7" s="30" t="s">
        <v>107</v>
      </c>
      <c r="H7" s="30"/>
      <c r="I7" s="30" t="s">
        <v>108</v>
      </c>
      <c r="J7" s="30"/>
      <c r="K7" s="30" t="s">
        <v>85</v>
      </c>
      <c r="L7" s="30"/>
      <c r="M7" s="30" t="s">
        <v>109</v>
      </c>
      <c r="N7" s="30"/>
      <c r="O7" s="30" t="s">
        <v>107</v>
      </c>
      <c r="P7" s="30"/>
      <c r="Q7" s="30" t="s">
        <v>108</v>
      </c>
      <c r="R7" s="30"/>
      <c r="S7" s="30" t="s">
        <v>85</v>
      </c>
      <c r="T7" s="44"/>
    </row>
    <row r="8" spans="1:21" ht="51" customHeight="1" x14ac:dyDescent="0.55000000000000004">
      <c r="A8" s="318" t="s">
        <v>139</v>
      </c>
      <c r="B8" s="318"/>
      <c r="C8" s="318"/>
      <c r="D8" s="44"/>
      <c r="E8" s="238">
        <v>0</v>
      </c>
      <c r="F8" s="238"/>
      <c r="G8" s="219">
        <f>'درآمد ناشی از تغییر قیمت اوراق '!I19</f>
        <v>294362433</v>
      </c>
      <c r="H8" s="219"/>
      <c r="I8" s="219">
        <f>'درآمد ناشی ازفروش'!H18</f>
        <v>0</v>
      </c>
      <c r="J8" s="219"/>
      <c r="K8" s="219">
        <f>E8+G8+I8</f>
        <v>294362433</v>
      </c>
      <c r="L8" s="219"/>
      <c r="M8" s="219"/>
      <c r="N8" s="219"/>
      <c r="O8" s="219">
        <f>'درآمد ناشی از تغییر قیمت اوراق '!Q19</f>
        <v>603130413</v>
      </c>
      <c r="P8" s="219"/>
      <c r="Q8" s="219">
        <v>45255168</v>
      </c>
      <c r="R8" s="219"/>
      <c r="S8" s="219">
        <f>Q8+O8+M8</f>
        <v>648385581</v>
      </c>
      <c r="T8" s="44"/>
    </row>
    <row r="9" spans="1:21" ht="48.75" customHeight="1" x14ac:dyDescent="0.55000000000000004">
      <c r="A9" s="318" t="s">
        <v>140</v>
      </c>
      <c r="B9" s="318"/>
      <c r="C9" s="318"/>
      <c r="D9" s="44"/>
      <c r="E9" s="238">
        <v>0</v>
      </c>
      <c r="F9" s="238"/>
      <c r="G9" s="219">
        <f>'درآمد ناشی از تغییر قیمت اوراق '!I20</f>
        <v>482628841</v>
      </c>
      <c r="H9" s="219"/>
      <c r="I9" s="219">
        <v>0</v>
      </c>
      <c r="J9" s="219"/>
      <c r="K9" s="219">
        <f t="shared" ref="K9:K15" si="0">E9+G9+I9</f>
        <v>482628841</v>
      </c>
      <c r="L9" s="219"/>
      <c r="M9" s="219"/>
      <c r="N9" s="219"/>
      <c r="O9" s="219">
        <f>'درآمد ناشی از تغییر قیمت اوراق '!Q20</f>
        <v>742080142</v>
      </c>
      <c r="P9" s="219"/>
      <c r="Q9" s="219">
        <v>0</v>
      </c>
      <c r="R9" s="219"/>
      <c r="S9" s="219">
        <f t="shared" ref="S9:S15" si="1">Q9+O9+M9</f>
        <v>742080142</v>
      </c>
      <c r="T9" s="44"/>
    </row>
    <row r="10" spans="1:21" ht="45" customHeight="1" x14ac:dyDescent="0.55000000000000004">
      <c r="A10" s="318" t="s">
        <v>141</v>
      </c>
      <c r="B10" s="318"/>
      <c r="C10" s="318"/>
      <c r="D10" s="44"/>
      <c r="E10" s="238">
        <v>0</v>
      </c>
      <c r="F10" s="238"/>
      <c r="G10" s="219">
        <f>'درآمد ناشی از تغییر قیمت اوراق '!I21</f>
        <v>-1839589700</v>
      </c>
      <c r="H10" s="219"/>
      <c r="I10" s="219">
        <v>0</v>
      </c>
      <c r="J10" s="219"/>
      <c r="K10" s="219">
        <f t="shared" si="0"/>
        <v>-1839589700</v>
      </c>
      <c r="L10" s="219"/>
      <c r="M10" s="219"/>
      <c r="N10" s="219"/>
      <c r="O10" s="219">
        <f>'درآمد ناشی از تغییر قیمت اوراق '!Q21</f>
        <v>209690035</v>
      </c>
      <c r="P10" s="219"/>
      <c r="Q10" s="219">
        <v>0</v>
      </c>
      <c r="R10" s="219"/>
      <c r="S10" s="219">
        <f t="shared" si="1"/>
        <v>209690035</v>
      </c>
      <c r="T10" s="44"/>
    </row>
    <row r="11" spans="1:21" ht="45" customHeight="1" x14ac:dyDescent="0.55000000000000004">
      <c r="A11" s="318" t="s">
        <v>142</v>
      </c>
      <c r="B11" s="318"/>
      <c r="C11" s="318"/>
      <c r="D11" s="44"/>
      <c r="E11" s="238">
        <v>0</v>
      </c>
      <c r="F11" s="238"/>
      <c r="G11" s="219">
        <f>'درآمد ناشی از تغییر قیمت اوراق '!I22</f>
        <v>-39749789</v>
      </c>
      <c r="H11" s="219"/>
      <c r="I11" s="219">
        <v>273562224</v>
      </c>
      <c r="J11" s="219"/>
      <c r="K11" s="219">
        <f t="shared" si="0"/>
        <v>233812435</v>
      </c>
      <c r="L11" s="219"/>
      <c r="M11" s="219"/>
      <c r="N11" s="219"/>
      <c r="O11" s="219">
        <f>'درآمد ناشی از تغییر قیمت اوراق '!Q22</f>
        <v>844413457</v>
      </c>
      <c r="P11" s="219"/>
      <c r="Q11" s="219">
        <v>273562224</v>
      </c>
      <c r="R11" s="219"/>
      <c r="S11" s="219">
        <f t="shared" si="1"/>
        <v>1117975681</v>
      </c>
      <c r="T11" s="44"/>
    </row>
    <row r="12" spans="1:21" ht="42.75" customHeight="1" x14ac:dyDescent="0.55000000000000004">
      <c r="A12" s="318" t="s">
        <v>143</v>
      </c>
      <c r="B12" s="318"/>
      <c r="C12" s="318"/>
      <c r="D12" s="44"/>
      <c r="E12" s="238">
        <v>0</v>
      </c>
      <c r="F12" s="238"/>
      <c r="G12" s="219">
        <f>'درآمد ناشی از تغییر قیمت اوراق '!I23</f>
        <v>197766515</v>
      </c>
      <c r="H12" s="219"/>
      <c r="I12" s="219">
        <v>0</v>
      </c>
      <c r="J12" s="219"/>
      <c r="K12" s="219">
        <f t="shared" si="0"/>
        <v>197766515</v>
      </c>
      <c r="L12" s="219"/>
      <c r="M12" s="219"/>
      <c r="N12" s="219"/>
      <c r="O12" s="219">
        <f>'درآمد ناشی از تغییر قیمت اوراق '!Q23</f>
        <v>435230779</v>
      </c>
      <c r="P12" s="219"/>
      <c r="Q12" s="219">
        <v>0</v>
      </c>
      <c r="R12" s="219"/>
      <c r="S12" s="219">
        <f t="shared" si="1"/>
        <v>435230779</v>
      </c>
      <c r="T12" s="44"/>
    </row>
    <row r="13" spans="1:21" ht="52.5" customHeight="1" x14ac:dyDescent="0.55000000000000004">
      <c r="A13" s="318" t="s">
        <v>144</v>
      </c>
      <c r="B13" s="318"/>
      <c r="C13" s="318"/>
      <c r="D13" s="2"/>
      <c r="E13" s="214">
        <v>0</v>
      </c>
      <c r="F13" s="214"/>
      <c r="G13" s="219">
        <f>'درآمد ناشی از تغییر قیمت اوراق '!I24</f>
        <v>714711898</v>
      </c>
      <c r="H13" s="219"/>
      <c r="I13" s="219">
        <v>0</v>
      </c>
      <c r="J13" s="219"/>
      <c r="K13" s="219">
        <f t="shared" si="0"/>
        <v>714711898</v>
      </c>
      <c r="L13" s="219"/>
      <c r="M13" s="219">
        <v>0</v>
      </c>
      <c r="N13" s="219"/>
      <c r="O13" s="219">
        <f>'درآمد ناشی از تغییر قیمت اوراق '!Q24</f>
        <v>1154909563</v>
      </c>
      <c r="P13" s="219"/>
      <c r="Q13" s="219">
        <v>0</v>
      </c>
      <c r="R13" s="219"/>
      <c r="S13" s="219">
        <f t="shared" si="1"/>
        <v>1154909563</v>
      </c>
      <c r="T13" s="44"/>
    </row>
    <row r="14" spans="1:21" ht="52.5" customHeight="1" x14ac:dyDescent="0.55000000000000004">
      <c r="A14" s="318" t="s">
        <v>145</v>
      </c>
      <c r="B14" s="318"/>
      <c r="C14" s="318"/>
      <c r="D14" s="2"/>
      <c r="E14" s="214">
        <v>0</v>
      </c>
      <c r="F14" s="214"/>
      <c r="G14" s="219">
        <v>0</v>
      </c>
      <c r="H14" s="214"/>
      <c r="I14" s="225">
        <v>115184886</v>
      </c>
      <c r="J14" s="214"/>
      <c r="K14" s="219">
        <f t="shared" si="0"/>
        <v>115184886</v>
      </c>
      <c r="L14" s="214"/>
      <c r="M14" s="214"/>
      <c r="N14" s="214"/>
      <c r="O14" s="219">
        <f t="shared" ref="O14" si="2">G14</f>
        <v>0</v>
      </c>
      <c r="P14" s="214"/>
      <c r="Q14" s="225">
        <v>115184886</v>
      </c>
      <c r="R14" s="214"/>
      <c r="S14" s="219">
        <f t="shared" si="1"/>
        <v>115184886</v>
      </c>
      <c r="T14" s="44"/>
    </row>
    <row r="15" spans="1:21" ht="37.5" customHeight="1" x14ac:dyDescent="0.5">
      <c r="A15" s="318" t="s">
        <v>136</v>
      </c>
      <c r="B15" s="318"/>
      <c r="C15" s="318"/>
      <c r="D15" s="2"/>
      <c r="E15" s="214">
        <v>0</v>
      </c>
      <c r="F15" s="214"/>
      <c r="G15" s="219">
        <f>'درآمد ناشی از تغییر قیمت اوراق '!I25</f>
        <v>217862535</v>
      </c>
      <c r="H15" s="214"/>
      <c r="I15" s="219">
        <v>0</v>
      </c>
      <c r="J15" s="214"/>
      <c r="K15" s="219">
        <f t="shared" si="0"/>
        <v>217862535</v>
      </c>
      <c r="L15" s="214"/>
      <c r="M15" s="214">
        <v>0</v>
      </c>
      <c r="N15" s="214"/>
      <c r="O15" s="219">
        <f>'درآمد ناشی از تغییر قیمت اوراق '!Q25</f>
        <v>596641119</v>
      </c>
      <c r="P15" s="214"/>
      <c r="Q15" s="219">
        <v>0</v>
      </c>
      <c r="R15" s="214"/>
      <c r="S15" s="219">
        <f t="shared" si="1"/>
        <v>596641119</v>
      </c>
      <c r="T15" s="2"/>
    </row>
    <row r="16" spans="1:21" ht="21.75" thickBot="1" x14ac:dyDescent="0.3">
      <c r="E16" s="216">
        <f>SUM(E15)</f>
        <v>0</v>
      </c>
      <c r="F16" s="211"/>
      <c r="G16" s="220">
        <f>SUM(G8:G15)</f>
        <v>27992733</v>
      </c>
      <c r="H16" s="235">
        <f>'درآمد سپرده بانکی'!E13</f>
        <v>1957220</v>
      </c>
      <c r="I16" s="216">
        <f>SUM(I15)</f>
        <v>0</v>
      </c>
      <c r="J16" s="211"/>
      <c r="K16" s="220">
        <f>SUM(K8:K15)</f>
        <v>416739843</v>
      </c>
      <c r="L16" s="211"/>
      <c r="M16" s="216">
        <f>SUM(M15)</f>
        <v>0</v>
      </c>
      <c r="N16" s="211"/>
      <c r="O16" s="220">
        <f>SUM(O8:O15)</f>
        <v>4586095508</v>
      </c>
      <c r="P16" s="211"/>
      <c r="Q16" s="216">
        <f>SUM(Q15)</f>
        <v>0</v>
      </c>
      <c r="R16" s="211"/>
      <c r="S16" s="220">
        <f>SUM(S8:S15)</f>
        <v>5020097786</v>
      </c>
    </row>
    <row r="17" spans="15:17" ht="15.75" thickTop="1" x14ac:dyDescent="0.25">
      <c r="O17" s="218"/>
    </row>
    <row r="30" spans="15:17" ht="20.25" x14ac:dyDescent="0.25">
      <c r="Q30" s="42"/>
    </row>
  </sheetData>
  <mergeCells count="15">
    <mergeCell ref="A6:C7"/>
    <mergeCell ref="A15:C15"/>
    <mergeCell ref="A1:U1"/>
    <mergeCell ref="A2:U2"/>
    <mergeCell ref="A3:U3"/>
    <mergeCell ref="A4:U4"/>
    <mergeCell ref="E6:K6"/>
    <mergeCell ref="M6:T6"/>
    <mergeCell ref="A13:C13"/>
    <mergeCell ref="A14:C14"/>
    <mergeCell ref="A8:C8"/>
    <mergeCell ref="A9:C9"/>
    <mergeCell ref="A10:C10"/>
    <mergeCell ref="A11:C11"/>
    <mergeCell ref="A12:C12"/>
  </mergeCells>
  <pageMargins left="0.7" right="0.7" top="0.75" bottom="0.75" header="0.3" footer="0.3"/>
  <pageSetup scale="6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4"/>
  <sheetViews>
    <sheetView rightToLeft="1" view="pageBreakPreview" zoomScaleNormal="100" zoomScaleSheetLayoutView="100" workbookViewId="0">
      <selection activeCell="I18" sqref="I18"/>
    </sheetView>
  </sheetViews>
  <sheetFormatPr defaultRowHeight="15" x14ac:dyDescent="0.25"/>
  <cols>
    <col min="1" max="1" width="28.85546875" customWidth="1"/>
    <col min="2" max="2" width="0.5703125" customWidth="1"/>
    <col min="3" max="3" width="13.7109375" bestFit="1" customWidth="1"/>
    <col min="4" max="4" width="0.5703125" customWidth="1"/>
    <col min="5" max="5" width="20.140625" customWidth="1"/>
    <col min="6" max="6" width="0.5703125" customWidth="1"/>
    <col min="7" max="7" width="20.7109375" bestFit="1" customWidth="1"/>
    <col min="8" max="8" width="0.7109375" customWidth="1"/>
    <col min="9" max="9" width="20" bestFit="1" customWidth="1"/>
    <col min="10" max="10" width="0.5703125" customWidth="1"/>
    <col min="11" max="11" width="13.5703125" bestFit="1" customWidth="1"/>
    <col min="12" max="12" width="0.7109375" customWidth="1"/>
    <col min="13" max="13" width="20.28515625" customWidth="1"/>
    <col min="14" max="14" width="0.42578125" customWidth="1"/>
    <col min="15" max="15" width="19.7109375" bestFit="1" customWidth="1"/>
    <col min="16" max="16" width="0.5703125" customWidth="1"/>
    <col min="17" max="17" width="22.5703125" bestFit="1" customWidth="1"/>
    <col min="20" max="20" width="20.5703125" style="71" bestFit="1" customWidth="1"/>
    <col min="21" max="21" width="18.140625" bestFit="1" customWidth="1"/>
  </cols>
  <sheetData>
    <row r="1" spans="1:21" ht="21.75" x14ac:dyDescent="0.55000000000000004">
      <c r="A1" s="279" t="s">
        <v>51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</row>
    <row r="2" spans="1:21" ht="21.75" x14ac:dyDescent="0.55000000000000004">
      <c r="A2" s="279" t="s">
        <v>48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</row>
    <row r="3" spans="1:21" ht="21.75" x14ac:dyDescent="0.55000000000000004">
      <c r="A3" s="279" t="str">
        <f>' سهام'!A3:Y3</f>
        <v>برای ماه منتهی به 31 خرداد 1402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</row>
    <row r="4" spans="1:21" ht="25.5" x14ac:dyDescent="0.25">
      <c r="A4" s="273" t="s">
        <v>68</v>
      </c>
      <c r="B4" s="273"/>
      <c r="C4" s="273"/>
      <c r="D4" s="273"/>
      <c r="E4" s="273"/>
      <c r="F4" s="273"/>
      <c r="G4" s="273"/>
      <c r="H4" s="273"/>
    </row>
    <row r="5" spans="1:21" s="51" customFormat="1" ht="25.5" customHeight="1" x14ac:dyDescent="0.25">
      <c r="A5" s="30"/>
      <c r="B5" s="30"/>
      <c r="C5" s="321" t="s">
        <v>169</v>
      </c>
      <c r="D5" s="321"/>
      <c r="E5" s="321"/>
      <c r="F5" s="321"/>
      <c r="G5" s="321"/>
      <c r="H5" s="321"/>
      <c r="I5" s="321"/>
      <c r="J5" s="30"/>
      <c r="K5" s="314" t="s">
        <v>167</v>
      </c>
      <c r="L5" s="314"/>
      <c r="M5" s="314"/>
      <c r="N5" s="314"/>
      <c r="O5" s="314"/>
      <c r="P5" s="314"/>
      <c r="Q5" s="314"/>
      <c r="T5" s="110"/>
    </row>
    <row r="6" spans="1:21" s="45" customFormat="1" ht="41.25" customHeight="1" x14ac:dyDescent="0.55000000000000004">
      <c r="A6" s="30" t="s">
        <v>34</v>
      </c>
      <c r="B6" s="30"/>
      <c r="C6" s="150" t="s">
        <v>3</v>
      </c>
      <c r="D6" s="30"/>
      <c r="E6" s="151" t="s">
        <v>20</v>
      </c>
      <c r="F6" s="30"/>
      <c r="G6" s="150" t="s">
        <v>39</v>
      </c>
      <c r="H6" s="30"/>
      <c r="I6" s="151" t="s">
        <v>40</v>
      </c>
      <c r="J6" s="20"/>
      <c r="K6" s="150" t="s">
        <v>3</v>
      </c>
      <c r="L6" s="30"/>
      <c r="M6" s="151" t="s">
        <v>20</v>
      </c>
      <c r="N6" s="30"/>
      <c r="O6" s="152" t="s">
        <v>39</v>
      </c>
      <c r="P6" s="30"/>
      <c r="Q6" s="151" t="s">
        <v>40</v>
      </c>
      <c r="T6" s="111"/>
    </row>
    <row r="7" spans="1:21" s="23" customFormat="1" ht="30" customHeight="1" x14ac:dyDescent="0.5">
      <c r="A7" s="47" t="s">
        <v>52</v>
      </c>
      <c r="B7" s="21"/>
      <c r="C7" s="48">
        <v>1041301</v>
      </c>
      <c r="D7" s="48"/>
      <c r="E7" s="49">
        <f>52741895650-40083841</f>
        <v>52701811809</v>
      </c>
      <c r="F7" s="48"/>
      <c r="G7" s="49">
        <v>55763374879</v>
      </c>
      <c r="H7" s="48"/>
      <c r="I7" s="122">
        <f t="shared" ref="I7:I14" si="0">E7-G7</f>
        <v>-3061563070</v>
      </c>
      <c r="J7" s="36"/>
      <c r="K7" s="48">
        <f>C7</f>
        <v>1041301</v>
      </c>
      <c r="L7" s="48"/>
      <c r="M7" s="49">
        <f>52741895650-40083841</f>
        <v>52701811809</v>
      </c>
      <c r="N7" s="48"/>
      <c r="O7" s="49">
        <v>55324178708</v>
      </c>
      <c r="P7" s="48"/>
      <c r="Q7" s="122">
        <f t="shared" ref="Q7:Q25" si="1">M7-O7</f>
        <v>-2622366899</v>
      </c>
      <c r="T7" s="112"/>
      <c r="U7" s="202"/>
    </row>
    <row r="8" spans="1:21" s="23" customFormat="1" ht="30" customHeight="1" x14ac:dyDescent="0.5">
      <c r="A8" s="46" t="s">
        <v>60</v>
      </c>
      <c r="B8" s="5"/>
      <c r="C8" s="128">
        <v>44297994</v>
      </c>
      <c r="D8" s="36"/>
      <c r="E8" s="49">
        <f>959051570100-728879193</f>
        <v>958322690907</v>
      </c>
      <c r="F8" s="36"/>
      <c r="G8" s="49">
        <v>981914068460</v>
      </c>
      <c r="H8" s="36"/>
      <c r="I8" s="122">
        <f t="shared" si="0"/>
        <v>-23591377553</v>
      </c>
      <c r="J8" s="36"/>
      <c r="K8" s="128">
        <f>C8</f>
        <v>44297994</v>
      </c>
      <c r="L8" s="36"/>
      <c r="M8" s="49">
        <f>959051570100-728879193</f>
        <v>958322690907</v>
      </c>
      <c r="N8" s="36"/>
      <c r="O8" s="49">
        <v>873532296974</v>
      </c>
      <c r="P8" s="36"/>
      <c r="Q8" s="122">
        <f>M8-O8</f>
        <v>84790393933</v>
      </c>
      <c r="T8" s="112"/>
      <c r="U8" s="202"/>
    </row>
    <row r="9" spans="1:21" s="23" customFormat="1" ht="30" customHeight="1" x14ac:dyDescent="0.5">
      <c r="A9" s="46" t="s">
        <v>72</v>
      </c>
      <c r="B9" s="5"/>
      <c r="C9" s="128">
        <v>24203617</v>
      </c>
      <c r="D9" s="36"/>
      <c r="E9" s="49">
        <f>437601395360-332577060</f>
        <v>437268818300</v>
      </c>
      <c r="F9" s="36"/>
      <c r="G9" s="49">
        <v>516699868716</v>
      </c>
      <c r="H9" s="36"/>
      <c r="I9" s="122">
        <f t="shared" si="0"/>
        <v>-79431050416</v>
      </c>
      <c r="J9" s="36"/>
      <c r="K9" s="128">
        <f t="shared" ref="K9:K16" si="2">C9</f>
        <v>24203617</v>
      </c>
      <c r="L9" s="36"/>
      <c r="M9" s="49">
        <f>437601395360-332577060</f>
        <v>437268818300</v>
      </c>
      <c r="N9" s="36"/>
      <c r="O9" s="49">
        <v>479984169163</v>
      </c>
      <c r="P9" s="36"/>
      <c r="Q9" s="122">
        <f t="shared" si="1"/>
        <v>-42715350863</v>
      </c>
      <c r="T9" s="112"/>
      <c r="U9" s="202"/>
    </row>
    <row r="10" spans="1:21" s="23" customFormat="1" ht="30" customHeight="1" x14ac:dyDescent="0.5">
      <c r="A10" s="46" t="s">
        <v>79</v>
      </c>
      <c r="B10" s="5"/>
      <c r="C10" s="128">
        <v>16291871</v>
      </c>
      <c r="D10" s="36"/>
      <c r="E10" s="266">
        <f>329008476288-250236622</f>
        <v>328758239666</v>
      </c>
      <c r="F10" s="36"/>
      <c r="G10" s="49">
        <v>389252946090</v>
      </c>
      <c r="H10" s="36"/>
      <c r="I10" s="122">
        <f t="shared" si="0"/>
        <v>-60494706424</v>
      </c>
      <c r="J10" s="36"/>
      <c r="K10" s="128">
        <f t="shared" si="2"/>
        <v>16291871</v>
      </c>
      <c r="L10" s="36"/>
      <c r="M10" s="49">
        <f>329258712910-250236622</f>
        <v>329008476288</v>
      </c>
      <c r="N10" s="36"/>
      <c r="O10" s="49">
        <v>323641632616</v>
      </c>
      <c r="P10" s="36"/>
      <c r="Q10" s="122">
        <f t="shared" si="1"/>
        <v>5366843672</v>
      </c>
      <c r="T10" s="112"/>
      <c r="U10" s="202"/>
    </row>
    <row r="11" spans="1:21" s="23" customFormat="1" ht="30" customHeight="1" x14ac:dyDescent="0.5">
      <c r="A11" s="46" t="s">
        <v>80</v>
      </c>
      <c r="B11" s="5"/>
      <c r="C11" s="128">
        <v>21099041</v>
      </c>
      <c r="D11" s="36"/>
      <c r="E11" s="49">
        <f>302541132208-230106141</f>
        <v>302311026067</v>
      </c>
      <c r="F11" s="36"/>
      <c r="G11" s="49">
        <v>319857000536</v>
      </c>
      <c r="H11" s="36">
        <f>'درآمد سپرده بانکی'!E13</f>
        <v>1957220</v>
      </c>
      <c r="I11" s="122">
        <f t="shared" si="0"/>
        <v>-17545974469</v>
      </c>
      <c r="J11" s="36"/>
      <c r="K11" s="128">
        <f t="shared" si="2"/>
        <v>21099041</v>
      </c>
      <c r="L11" s="36"/>
      <c r="M11" s="49">
        <f>302771238350-230106141</f>
        <v>302541132209</v>
      </c>
      <c r="N11" s="36"/>
      <c r="O11" s="49">
        <v>276067491193</v>
      </c>
      <c r="P11" s="36"/>
      <c r="Q11" s="122">
        <f>M11-O11</f>
        <v>26473641016</v>
      </c>
      <c r="T11" s="112"/>
      <c r="U11" s="202"/>
    </row>
    <row r="12" spans="1:21" s="23" customFormat="1" ht="30" customHeight="1" x14ac:dyDescent="0.5">
      <c r="A12" s="46" t="s">
        <v>95</v>
      </c>
      <c r="B12" s="5"/>
      <c r="C12" s="197">
        <v>16412152</v>
      </c>
      <c r="D12" s="199"/>
      <c r="E12" s="198">
        <f>101186017976-76959863</f>
        <v>101109058113</v>
      </c>
      <c r="F12" s="199"/>
      <c r="G12" s="198">
        <v>95116629873</v>
      </c>
      <c r="H12" s="199"/>
      <c r="I12" s="122">
        <f>E12-G12</f>
        <v>5992428240</v>
      </c>
      <c r="J12" s="199"/>
      <c r="K12" s="197">
        <f t="shared" si="2"/>
        <v>16412152</v>
      </c>
      <c r="L12" s="199"/>
      <c r="M12" s="49">
        <f>101262977840-76959863</f>
        <v>101186017977</v>
      </c>
      <c r="N12" s="199"/>
      <c r="O12" s="49">
        <v>99720338524</v>
      </c>
      <c r="P12" s="199"/>
      <c r="Q12" s="122">
        <f>M12-O12</f>
        <v>1465679453</v>
      </c>
      <c r="T12" s="112"/>
      <c r="U12" s="202"/>
    </row>
    <row r="13" spans="1:21" s="23" customFormat="1" ht="30" customHeight="1" x14ac:dyDescent="0.5">
      <c r="A13" s="46" t="s">
        <v>168</v>
      </c>
      <c r="B13" s="5"/>
      <c r="C13" s="197">
        <v>4103038</v>
      </c>
      <c r="D13" s="199"/>
      <c r="E13" s="198">
        <f>21212706460-16121657</f>
        <v>21196584803</v>
      </c>
      <c r="F13" s="199"/>
      <c r="G13" s="198">
        <v>20822917850</v>
      </c>
      <c r="H13" s="199"/>
      <c r="I13" s="122">
        <f>E13-G13</f>
        <v>373666953</v>
      </c>
      <c r="J13" s="199"/>
      <c r="K13" s="197">
        <f>C13</f>
        <v>4103038</v>
      </c>
      <c r="L13" s="199"/>
      <c r="M13" s="49">
        <f>21212706460-16121657</f>
        <v>21196584803</v>
      </c>
      <c r="N13" s="199"/>
      <c r="O13" s="49">
        <v>20822917850</v>
      </c>
      <c r="P13" s="199"/>
      <c r="Q13" s="122">
        <f>M13-O13</f>
        <v>373666953</v>
      </c>
      <c r="T13" s="112"/>
      <c r="U13" s="202"/>
    </row>
    <row r="14" spans="1:21" s="23" customFormat="1" ht="30" customHeight="1" x14ac:dyDescent="0.5">
      <c r="A14" s="46" t="s">
        <v>100</v>
      </c>
      <c r="B14" s="5"/>
      <c r="C14" s="197">
        <v>0</v>
      </c>
      <c r="D14" s="199"/>
      <c r="E14" s="198">
        <v>0</v>
      </c>
      <c r="F14" s="199"/>
      <c r="G14" s="198">
        <v>0</v>
      </c>
      <c r="H14" s="199"/>
      <c r="I14" s="122">
        <f t="shared" si="0"/>
        <v>0</v>
      </c>
      <c r="J14" s="199"/>
      <c r="K14" s="197">
        <f t="shared" si="2"/>
        <v>0</v>
      </c>
      <c r="L14" s="199"/>
      <c r="M14" s="49">
        <v>0</v>
      </c>
      <c r="N14" s="199"/>
      <c r="O14" s="49">
        <v>0</v>
      </c>
      <c r="P14" s="199"/>
      <c r="Q14" s="122">
        <f t="shared" si="1"/>
        <v>0</v>
      </c>
      <c r="T14" s="112"/>
      <c r="U14" s="202"/>
    </row>
    <row r="15" spans="1:21" s="23" customFormat="1" ht="30" customHeight="1" x14ac:dyDescent="0.5">
      <c r="A15" s="46" t="s">
        <v>101</v>
      </c>
      <c r="B15" s="5"/>
      <c r="C15" s="197">
        <v>0</v>
      </c>
      <c r="D15" s="199"/>
      <c r="E15" s="198">
        <v>0</v>
      </c>
      <c r="F15" s="199"/>
      <c r="G15" s="198">
        <v>0</v>
      </c>
      <c r="H15" s="199"/>
      <c r="I15" s="122">
        <f t="shared" ref="I15:I25" si="3">E15-G15</f>
        <v>0</v>
      </c>
      <c r="J15" s="199"/>
      <c r="K15" s="197">
        <v>0</v>
      </c>
      <c r="L15" s="199"/>
      <c r="M15" s="49">
        <v>0</v>
      </c>
      <c r="N15" s="199"/>
      <c r="O15" s="49">
        <v>0</v>
      </c>
      <c r="P15" s="199"/>
      <c r="Q15" s="122">
        <f t="shared" si="1"/>
        <v>0</v>
      </c>
      <c r="T15" s="112"/>
      <c r="U15" s="202"/>
    </row>
    <row r="16" spans="1:21" s="23" customFormat="1" ht="30" customHeight="1" x14ac:dyDescent="0.5">
      <c r="A16" s="46" t="s">
        <v>104</v>
      </c>
      <c r="B16" s="5"/>
      <c r="C16" s="197">
        <v>387440</v>
      </c>
      <c r="D16" s="199"/>
      <c r="E16" s="198">
        <f>4657705076-873483</f>
        <v>4656831593</v>
      </c>
      <c r="F16" s="199"/>
      <c r="G16" s="198">
        <v>4852929172</v>
      </c>
      <c r="H16" s="199"/>
      <c r="I16" s="122">
        <f t="shared" si="3"/>
        <v>-196097579</v>
      </c>
      <c r="J16" s="199"/>
      <c r="K16" s="197">
        <f t="shared" si="2"/>
        <v>387440</v>
      </c>
      <c r="L16" s="199"/>
      <c r="M16" s="49">
        <f>4658578560-873483</f>
        <v>4657705077</v>
      </c>
      <c r="N16" s="199"/>
      <c r="O16" s="49">
        <v>4597902075</v>
      </c>
      <c r="P16" s="199"/>
      <c r="Q16" s="122">
        <f t="shared" si="1"/>
        <v>59803002</v>
      </c>
      <c r="T16" s="112"/>
      <c r="U16" s="202"/>
    </row>
    <row r="17" spans="1:21" s="23" customFormat="1" ht="30" customHeight="1" x14ac:dyDescent="0.5">
      <c r="A17" s="42" t="s">
        <v>86</v>
      </c>
      <c r="B17" s="5"/>
      <c r="C17" s="197">
        <v>0</v>
      </c>
      <c r="D17" s="199"/>
      <c r="E17" s="198">
        <v>0</v>
      </c>
      <c r="F17" s="199"/>
      <c r="G17" s="198">
        <v>0</v>
      </c>
      <c r="H17" s="199"/>
      <c r="I17" s="217">
        <f t="shared" si="3"/>
        <v>0</v>
      </c>
      <c r="J17" s="199"/>
      <c r="K17" s="197">
        <f>C17</f>
        <v>0</v>
      </c>
      <c r="L17" s="199"/>
      <c r="M17" s="49">
        <v>0</v>
      </c>
      <c r="N17" s="199"/>
      <c r="O17" s="49">
        <v>0</v>
      </c>
      <c r="P17" s="199"/>
      <c r="Q17" s="217">
        <f t="shared" si="1"/>
        <v>0</v>
      </c>
      <c r="T17" s="112"/>
      <c r="U17" s="202"/>
    </row>
    <row r="18" spans="1:21" s="23" customFormat="1" ht="30" customHeight="1" x14ac:dyDescent="0.5">
      <c r="A18" s="42" t="s">
        <v>138</v>
      </c>
      <c r="B18" s="5"/>
      <c r="C18" s="197">
        <v>4789500</v>
      </c>
      <c r="D18" s="199"/>
      <c r="E18" s="198">
        <f>100364308663-18821837</f>
        <v>100345486826</v>
      </c>
      <c r="F18" s="199"/>
      <c r="G18" s="198">
        <v>100480500209</v>
      </c>
      <c r="H18" s="199"/>
      <c r="I18" s="122">
        <f t="shared" si="3"/>
        <v>-135013383</v>
      </c>
      <c r="J18" s="199"/>
      <c r="K18" s="197">
        <f>C18</f>
        <v>4789500</v>
      </c>
      <c r="L18" s="199"/>
      <c r="M18" s="49">
        <f>100383130500-18821837</f>
        <v>100364308663</v>
      </c>
      <c r="N18" s="199"/>
      <c r="O18" s="49">
        <v>100252622012</v>
      </c>
      <c r="P18" s="199"/>
      <c r="Q18" s="217">
        <f>M18-O18</f>
        <v>111686651</v>
      </c>
      <c r="T18" s="112"/>
      <c r="U18" s="202"/>
    </row>
    <row r="19" spans="1:21" s="23" customFormat="1" ht="30" customHeight="1" x14ac:dyDescent="0.5">
      <c r="A19" s="42" t="s">
        <v>139</v>
      </c>
      <c r="B19" s="5"/>
      <c r="C19" s="197">
        <v>13600</v>
      </c>
      <c r="D19" s="199"/>
      <c r="E19" s="198">
        <f>10513344000-7622174</f>
        <v>10505721826</v>
      </c>
      <c r="F19" s="199"/>
      <c r="G19" s="198">
        <v>10211359393</v>
      </c>
      <c r="H19" s="199"/>
      <c r="I19" s="270">
        <f t="shared" si="3"/>
        <v>294362433</v>
      </c>
      <c r="J19" s="199"/>
      <c r="K19" s="197">
        <f t="shared" ref="K19:K24" si="4">C19</f>
        <v>13600</v>
      </c>
      <c r="L19" s="199"/>
      <c r="M19" s="49">
        <f>10513344000-7622174</f>
        <v>10505721826</v>
      </c>
      <c r="N19" s="199"/>
      <c r="O19" s="49">
        <v>9902591413</v>
      </c>
      <c r="P19" s="199"/>
      <c r="Q19" s="217">
        <f>M19-O19</f>
        <v>603130413</v>
      </c>
      <c r="T19" s="112"/>
      <c r="U19" s="202"/>
    </row>
    <row r="20" spans="1:21" s="23" customFormat="1" ht="30" customHeight="1" x14ac:dyDescent="0.5">
      <c r="A20" s="42" t="s">
        <v>140</v>
      </c>
      <c r="B20" s="5"/>
      <c r="C20" s="197">
        <v>21100</v>
      </c>
      <c r="D20" s="199"/>
      <c r="E20" s="198">
        <f>16674486000-12089002</f>
        <v>16662396998</v>
      </c>
      <c r="F20" s="199"/>
      <c r="G20" s="198">
        <v>16179768157</v>
      </c>
      <c r="H20" s="199"/>
      <c r="I20" s="217">
        <f t="shared" si="3"/>
        <v>482628841</v>
      </c>
      <c r="J20" s="199"/>
      <c r="K20" s="197">
        <f t="shared" si="4"/>
        <v>21100</v>
      </c>
      <c r="L20" s="199"/>
      <c r="M20" s="49">
        <f>16674486000-12089002</f>
        <v>16662396998</v>
      </c>
      <c r="N20" s="199"/>
      <c r="O20" s="49">
        <v>15920316856</v>
      </c>
      <c r="P20" s="199"/>
      <c r="Q20" s="217">
        <f t="shared" ref="Q20:Q24" si="5">M20-O20</f>
        <v>742080142</v>
      </c>
      <c r="T20" s="112"/>
      <c r="U20" s="202"/>
    </row>
    <row r="21" spans="1:21" s="23" customFormat="1" ht="30" customHeight="1" x14ac:dyDescent="0.5">
      <c r="A21" s="42" t="s">
        <v>141</v>
      </c>
      <c r="B21" s="5"/>
      <c r="C21" s="197">
        <v>5200</v>
      </c>
      <c r="D21" s="199"/>
      <c r="E21" s="198">
        <f>3855124000-2794965</f>
        <v>3852329035</v>
      </c>
      <c r="F21" s="199"/>
      <c r="G21" s="198">
        <v>5691918735</v>
      </c>
      <c r="H21" s="199"/>
      <c r="I21" s="217">
        <f t="shared" si="3"/>
        <v>-1839589700</v>
      </c>
      <c r="J21" s="199"/>
      <c r="K21" s="197">
        <f t="shared" si="4"/>
        <v>5200</v>
      </c>
      <c r="L21" s="199"/>
      <c r="M21" s="49">
        <f>3855124000-2794965</f>
        <v>3852329035</v>
      </c>
      <c r="N21" s="199"/>
      <c r="O21" s="49">
        <v>3642639000</v>
      </c>
      <c r="P21" s="199"/>
      <c r="Q21" s="217">
        <f t="shared" si="5"/>
        <v>209690035</v>
      </c>
      <c r="T21" s="112"/>
      <c r="U21" s="202"/>
    </row>
    <row r="22" spans="1:21" s="23" customFormat="1" ht="30" customHeight="1" x14ac:dyDescent="0.5">
      <c r="A22" s="42" t="s">
        <v>142</v>
      </c>
      <c r="B22" s="5"/>
      <c r="C22" s="197">
        <v>22500</v>
      </c>
      <c r="D22" s="199"/>
      <c r="E22" s="198">
        <f>15841800000-11485305</f>
        <v>15830314695</v>
      </c>
      <c r="F22" s="199"/>
      <c r="G22" s="198">
        <v>15870064484</v>
      </c>
      <c r="H22" s="199"/>
      <c r="I22" s="217">
        <f t="shared" si="3"/>
        <v>-39749789</v>
      </c>
      <c r="J22" s="199"/>
      <c r="K22" s="197">
        <f t="shared" si="4"/>
        <v>22500</v>
      </c>
      <c r="L22" s="199"/>
      <c r="M22" s="49">
        <f>15841800000-11485305</f>
        <v>15830314695</v>
      </c>
      <c r="N22" s="199"/>
      <c r="O22" s="49">
        <v>14985901238</v>
      </c>
      <c r="P22" s="199"/>
      <c r="Q22" s="217">
        <f t="shared" si="5"/>
        <v>844413457</v>
      </c>
      <c r="T22" s="112"/>
      <c r="U22" s="202"/>
    </row>
    <row r="23" spans="1:21" s="23" customFormat="1" ht="30" customHeight="1" x14ac:dyDescent="0.5">
      <c r="A23" s="42" t="s">
        <v>143</v>
      </c>
      <c r="B23" s="5"/>
      <c r="C23" s="197">
        <v>9000</v>
      </c>
      <c r="D23" s="199"/>
      <c r="E23" s="198">
        <f>5565780000-4035191</f>
        <v>5561744809</v>
      </c>
      <c r="F23" s="199"/>
      <c r="G23" s="198">
        <v>5363978294</v>
      </c>
      <c r="H23" s="199"/>
      <c r="I23" s="217">
        <f t="shared" si="3"/>
        <v>197766515</v>
      </c>
      <c r="J23" s="199"/>
      <c r="K23" s="197">
        <f t="shared" si="4"/>
        <v>9000</v>
      </c>
      <c r="L23" s="199"/>
      <c r="M23" s="49">
        <f>5565780000-4035191</f>
        <v>5561744809</v>
      </c>
      <c r="N23" s="199"/>
      <c r="O23" s="49">
        <v>5126514030</v>
      </c>
      <c r="P23" s="199"/>
      <c r="Q23" s="217">
        <f t="shared" si="5"/>
        <v>435230779</v>
      </c>
      <c r="T23" s="112"/>
      <c r="U23" s="202"/>
    </row>
    <row r="24" spans="1:21" s="23" customFormat="1" ht="30" customHeight="1" x14ac:dyDescent="0.5">
      <c r="A24" s="42" t="s">
        <v>144</v>
      </c>
      <c r="B24" s="5"/>
      <c r="C24" s="197">
        <v>40800</v>
      </c>
      <c r="D24" s="199"/>
      <c r="E24" s="198">
        <f>26027136000-18869674</f>
        <v>26008266326</v>
      </c>
      <c r="F24" s="199"/>
      <c r="G24" s="198">
        <v>25293554428</v>
      </c>
      <c r="H24" s="199"/>
      <c r="I24" s="217">
        <f t="shared" si="3"/>
        <v>714711898</v>
      </c>
      <c r="J24" s="199"/>
      <c r="K24" s="197">
        <f t="shared" si="4"/>
        <v>40800</v>
      </c>
      <c r="L24" s="199"/>
      <c r="M24" s="49">
        <f>26027136000-18869674</f>
        <v>26008266326</v>
      </c>
      <c r="N24" s="199"/>
      <c r="O24" s="49">
        <v>24853356763</v>
      </c>
      <c r="P24" s="199"/>
      <c r="Q24" s="217">
        <f t="shared" si="5"/>
        <v>1154909563</v>
      </c>
      <c r="T24" s="112"/>
      <c r="U24" s="202"/>
    </row>
    <row r="25" spans="1:21" s="23" customFormat="1" ht="30" customHeight="1" x14ac:dyDescent="0.5">
      <c r="A25" s="42" t="s">
        <v>136</v>
      </c>
      <c r="B25" s="5"/>
      <c r="C25" s="147">
        <v>12000</v>
      </c>
      <c r="D25" s="36"/>
      <c r="E25" s="149">
        <f>9076200000-6580245</f>
        <v>9069619755</v>
      </c>
      <c r="F25" s="36"/>
      <c r="G25" s="149">
        <v>8851757220</v>
      </c>
      <c r="H25" s="36"/>
      <c r="I25" s="148">
        <f t="shared" si="3"/>
        <v>217862535</v>
      </c>
      <c r="J25" s="36"/>
      <c r="K25" s="147">
        <f>C25</f>
        <v>12000</v>
      </c>
      <c r="L25" s="36"/>
      <c r="M25" s="49">
        <f>9076200000-6580245</f>
        <v>9069619755</v>
      </c>
      <c r="N25" s="36"/>
      <c r="O25" s="49">
        <v>8472978636</v>
      </c>
      <c r="P25" s="36"/>
      <c r="Q25" s="148">
        <f t="shared" si="1"/>
        <v>596641119</v>
      </c>
      <c r="T25" s="112"/>
      <c r="U25" s="202"/>
    </row>
    <row r="26" spans="1:21" s="45" customFormat="1" ht="30" customHeight="1" thickBot="1" x14ac:dyDescent="0.6">
      <c r="A26" s="44" t="s">
        <v>2</v>
      </c>
      <c r="B26" s="44"/>
      <c r="C26" s="59">
        <f>SUM(C7:C25)</f>
        <v>132750154</v>
      </c>
      <c r="D26" s="60"/>
      <c r="E26" s="59">
        <f>SUM(E7:E25)</f>
        <v>2394160941528</v>
      </c>
      <c r="F26" s="60"/>
      <c r="G26" s="61">
        <f>SUM(G7:G25)</f>
        <v>2572222636496</v>
      </c>
      <c r="H26" s="60"/>
      <c r="I26" s="62">
        <f>SUM(I7:I25)</f>
        <v>-178061694968</v>
      </c>
      <c r="J26" s="60"/>
      <c r="K26" s="239">
        <f>SUM(K7:K25)</f>
        <v>132750154</v>
      </c>
      <c r="L26" s="60"/>
      <c r="M26" s="239">
        <f>SUM(M7:M25)</f>
        <v>2394737939477</v>
      </c>
      <c r="N26" s="60"/>
      <c r="O26" s="240">
        <f>SUM(O7:O25)</f>
        <v>2316847847051</v>
      </c>
      <c r="P26" s="60"/>
      <c r="Q26" s="62">
        <f>SUM(Q7:Q25)</f>
        <v>77890092426</v>
      </c>
      <c r="T26" s="111"/>
    </row>
    <row r="27" spans="1:21" s="23" customFormat="1" ht="30" customHeight="1" thickTop="1" x14ac:dyDescent="0.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T27" s="112"/>
    </row>
    <row r="28" spans="1:21" s="23" customFormat="1" ht="30" customHeight="1" x14ac:dyDescent="0.5">
      <c r="A28" s="5"/>
      <c r="B28" s="5"/>
      <c r="C28" s="36"/>
      <c r="D28" s="5"/>
      <c r="E28" s="36"/>
      <c r="F28" s="5"/>
      <c r="G28" s="153"/>
      <c r="H28" s="5"/>
      <c r="I28" s="5"/>
      <c r="J28" s="5"/>
      <c r="K28" s="5"/>
      <c r="L28" s="5"/>
      <c r="M28" s="5"/>
      <c r="N28" s="5"/>
      <c r="O28" s="36"/>
      <c r="P28" s="5"/>
      <c r="Q28" s="36"/>
      <c r="T28" s="112"/>
    </row>
    <row r="29" spans="1:21" ht="30" customHeight="1" x14ac:dyDescent="0.45">
      <c r="A29" s="2"/>
      <c r="B29" s="2"/>
      <c r="C29" s="2"/>
      <c r="D29" s="2"/>
      <c r="E29" s="155"/>
      <c r="F29" s="2"/>
      <c r="G29" s="154"/>
      <c r="H29" s="2"/>
      <c r="I29" s="2"/>
      <c r="J29" s="2"/>
      <c r="K29" s="2"/>
      <c r="L29" s="2"/>
      <c r="M29" s="2"/>
      <c r="N29" s="2"/>
      <c r="O29" s="155"/>
      <c r="P29" s="2"/>
      <c r="Q29" s="154"/>
    </row>
    <row r="30" spans="1:21" ht="30" customHeight="1" x14ac:dyDescent="0.45">
      <c r="A30" s="2"/>
      <c r="B30" s="2"/>
      <c r="C30" s="2"/>
      <c r="D30" s="2"/>
      <c r="E30" s="155"/>
      <c r="F30" s="2"/>
      <c r="G30" s="2"/>
      <c r="H30" s="2"/>
      <c r="I30" s="2"/>
      <c r="J30" s="2"/>
      <c r="K30" s="2"/>
      <c r="L30" s="2"/>
      <c r="M30" s="209"/>
      <c r="N30" s="2"/>
      <c r="O30" s="2"/>
      <c r="P30" s="2"/>
      <c r="Q30" s="2"/>
    </row>
    <row r="31" spans="1:21" ht="18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21" ht="18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8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8" x14ac:dyDescent="0.45">
      <c r="A34" s="320" t="s">
        <v>76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</row>
  </sheetData>
  <customSheetViews>
    <customSheetView guid="{9B1DBD13-10C2-4EFD-B3C9-81858DAEB6DD}" showPageBreaks="1" printArea="1">
      <selection activeCell="Q7" sqref="Q7:Q8"/>
      <pageMargins left="0.7" right="0.7" top="0.75" bottom="0.75" header="0.3" footer="0.3"/>
      <pageSetup scale="75" orientation="landscape" r:id="rId1"/>
    </customSheetView>
    <customSheetView guid="{0FB03AA2-1E4C-49B5-A51E-AA30FB031C6E}">
      <selection activeCell="Q7" sqref="Q7:Q8"/>
      <pageMargins left="0.7" right="0.7" top="0.75" bottom="0.75" header="0.3" footer="0.3"/>
      <pageSetup scale="75" orientation="landscape" r:id="rId2"/>
    </customSheetView>
  </customSheetViews>
  <mergeCells count="7">
    <mergeCell ref="A34:Q34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4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1"/>
  <sheetViews>
    <sheetView rightToLeft="1" view="pageBreakPreview" zoomScaleNormal="100" zoomScaleSheetLayoutView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D21" sqref="D21"/>
    </sheetView>
  </sheetViews>
  <sheetFormatPr defaultRowHeight="15" x14ac:dyDescent="0.25"/>
  <cols>
    <col min="1" max="1" width="27.28515625" customWidth="1"/>
    <col min="2" max="2" width="12.42578125" bestFit="1" customWidth="1"/>
    <col min="3" max="3" width="0.85546875" customWidth="1"/>
    <col min="4" max="4" width="18.28515625" bestFit="1" customWidth="1"/>
    <col min="5" max="5" width="0.5703125" customWidth="1"/>
    <col min="6" max="6" width="19" customWidth="1"/>
    <col min="7" max="7" width="0.85546875" customWidth="1"/>
    <col min="8" max="8" width="19.5703125" bestFit="1" customWidth="1"/>
    <col min="9" max="9" width="0.5703125" customWidth="1"/>
    <col min="10" max="10" width="13.85546875" bestFit="1" customWidth="1"/>
    <col min="11" max="11" width="0.42578125" customWidth="1"/>
    <col min="12" max="12" width="19.85546875" bestFit="1" customWidth="1"/>
    <col min="13" max="13" width="0.42578125" customWidth="1"/>
    <col min="14" max="14" width="21.42578125" bestFit="1" customWidth="1"/>
    <col min="15" max="15" width="0.5703125" customWidth="1"/>
    <col min="16" max="16" width="19" customWidth="1"/>
    <col min="17" max="17" width="16.5703125" bestFit="1" customWidth="1"/>
    <col min="18" max="18" width="15" bestFit="1" customWidth="1"/>
    <col min="19" max="19" width="13.85546875" style="91" bestFit="1" customWidth="1"/>
    <col min="20" max="20" width="16" style="100" bestFit="1" customWidth="1"/>
    <col min="21" max="21" width="15.85546875" style="71" bestFit="1" customWidth="1"/>
  </cols>
  <sheetData>
    <row r="1" spans="1:21" ht="21.75" x14ac:dyDescent="0.25">
      <c r="A1" s="310" t="s">
        <v>51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"/>
      <c r="R1" s="31"/>
    </row>
    <row r="2" spans="1:21" ht="21.75" x14ac:dyDescent="0.25">
      <c r="A2" s="310" t="s">
        <v>48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"/>
      <c r="R2" s="31"/>
    </row>
    <row r="3" spans="1:21" ht="21.75" x14ac:dyDescent="0.25">
      <c r="A3" s="310" t="str">
        <f>' سهام'!A3:Y3</f>
        <v>برای ماه منتهی به 31 خرداد 1402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"/>
      <c r="R3" s="31"/>
    </row>
    <row r="4" spans="1:21" ht="25.5" x14ac:dyDescent="0.25">
      <c r="A4" s="273" t="s">
        <v>69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</row>
    <row r="5" spans="1:21" s="5" customFormat="1" ht="39" customHeight="1" x14ac:dyDescent="0.5">
      <c r="B5" s="314" t="s">
        <v>169</v>
      </c>
      <c r="C5" s="314"/>
      <c r="D5" s="314"/>
      <c r="E5" s="314"/>
      <c r="F5" s="314"/>
      <c r="G5" s="314"/>
      <c r="H5" s="314"/>
      <c r="J5" s="314" t="s">
        <v>167</v>
      </c>
      <c r="K5" s="314"/>
      <c r="L5" s="314"/>
      <c r="M5" s="314"/>
      <c r="N5" s="314"/>
      <c r="O5" s="314"/>
      <c r="P5" s="314"/>
      <c r="S5" s="98"/>
      <c r="T5" s="179"/>
      <c r="U5" s="36"/>
    </row>
    <row r="6" spans="1:21" s="20" customFormat="1" ht="48.75" customHeight="1" x14ac:dyDescent="0.55000000000000004">
      <c r="A6" s="30" t="s">
        <v>34</v>
      </c>
      <c r="B6" s="156" t="s">
        <v>3</v>
      </c>
      <c r="C6" s="30"/>
      <c r="D6" s="140" t="s">
        <v>20</v>
      </c>
      <c r="E6" s="30"/>
      <c r="F6" s="156" t="s">
        <v>39</v>
      </c>
      <c r="G6" s="30"/>
      <c r="H6" s="140" t="s">
        <v>41</v>
      </c>
      <c r="J6" s="156" t="s">
        <v>3</v>
      </c>
      <c r="K6" s="30"/>
      <c r="L6" s="140" t="s">
        <v>20</v>
      </c>
      <c r="M6" s="30"/>
      <c r="N6" s="156" t="s">
        <v>39</v>
      </c>
      <c r="O6" s="30"/>
      <c r="P6" s="140" t="s">
        <v>41</v>
      </c>
      <c r="S6" s="99"/>
      <c r="T6" s="180"/>
      <c r="U6" s="109"/>
    </row>
    <row r="7" spans="1:21" s="5" customFormat="1" ht="37.5" customHeight="1" x14ac:dyDescent="0.5">
      <c r="A7" s="47" t="s">
        <v>52</v>
      </c>
      <c r="B7" s="48">
        <v>299062</v>
      </c>
      <c r="C7" s="48"/>
      <c r="D7" s="49">
        <f>16401224050-12464693</f>
        <v>16388759357</v>
      </c>
      <c r="E7" s="48"/>
      <c r="F7" s="49">
        <v>15966741651</v>
      </c>
      <c r="G7" s="48"/>
      <c r="H7" s="122">
        <f t="shared" ref="H7:H19" si="0">D7-F7</f>
        <v>422017706</v>
      </c>
      <c r="I7" s="22"/>
      <c r="J7" s="157">
        <v>1796796</v>
      </c>
      <c r="K7" s="22"/>
      <c r="L7" s="157">
        <f>96974599050-73699540</f>
        <v>96900899510</v>
      </c>
      <c r="M7" s="157"/>
      <c r="N7" s="157">
        <v>81402697533</v>
      </c>
      <c r="O7" s="157"/>
      <c r="P7" s="158">
        <f>L7-N7</f>
        <v>15498201977</v>
      </c>
      <c r="R7" s="36"/>
      <c r="S7" s="179"/>
      <c r="T7" s="179"/>
      <c r="U7" s="36"/>
    </row>
    <row r="8" spans="1:21" s="5" customFormat="1" ht="30" customHeight="1" x14ac:dyDescent="0.5">
      <c r="A8" s="46" t="s">
        <v>60</v>
      </c>
      <c r="B8" s="128">
        <v>7242408</v>
      </c>
      <c r="C8" s="36"/>
      <c r="D8" s="49">
        <f>154940625200-117754414</f>
        <v>154822870786</v>
      </c>
      <c r="E8" s="36"/>
      <c r="F8" s="49">
        <v>142443235673</v>
      </c>
      <c r="G8" s="36"/>
      <c r="H8" s="122">
        <f t="shared" si="0"/>
        <v>12379635113</v>
      </c>
      <c r="I8" s="22"/>
      <c r="J8" s="157">
        <v>36754687</v>
      </c>
      <c r="K8" s="22"/>
      <c r="L8" s="157">
        <f>792632335770-602398589</f>
        <v>792029937181</v>
      </c>
      <c r="M8" s="157"/>
      <c r="N8" s="157">
        <v>649672532982</v>
      </c>
      <c r="O8" s="157"/>
      <c r="P8" s="159">
        <f>L8-N8</f>
        <v>142357404199</v>
      </c>
      <c r="R8" s="36"/>
      <c r="S8" s="179"/>
      <c r="T8" s="179"/>
      <c r="U8" s="36"/>
    </row>
    <row r="9" spans="1:21" s="5" customFormat="1" ht="30" customHeight="1" x14ac:dyDescent="0.5">
      <c r="A9" s="46" t="s">
        <v>72</v>
      </c>
      <c r="B9" s="128">
        <v>885162</v>
      </c>
      <c r="C9" s="36"/>
      <c r="D9" s="49">
        <f>17663581100-13424020</f>
        <v>17650157080</v>
      </c>
      <c r="E9" s="36"/>
      <c r="F9" s="49">
        <v>17585213662</v>
      </c>
      <c r="G9" s="36"/>
      <c r="H9" s="122">
        <f t="shared" si="0"/>
        <v>64943418</v>
      </c>
      <c r="I9" s="22"/>
      <c r="J9" s="157">
        <v>5553496</v>
      </c>
      <c r="K9" s="22"/>
      <c r="L9" s="157">
        <f>126005698740-95762266</f>
        <v>125909936474</v>
      </c>
      <c r="M9" s="157"/>
      <c r="N9" s="157">
        <v>107969102288</v>
      </c>
      <c r="O9" s="157"/>
      <c r="P9" s="159">
        <f>L9-N9</f>
        <v>17940834186</v>
      </c>
      <c r="R9" s="36"/>
      <c r="S9" s="179"/>
      <c r="T9" s="179"/>
      <c r="U9" s="36"/>
    </row>
    <row r="10" spans="1:21" s="5" customFormat="1" ht="30" customHeight="1" x14ac:dyDescent="0.5">
      <c r="A10" s="46" t="s">
        <v>79</v>
      </c>
      <c r="B10" s="128">
        <v>780855</v>
      </c>
      <c r="C10" s="36"/>
      <c r="D10" s="49">
        <f>16883262250-12831041</f>
        <v>16870431209</v>
      </c>
      <c r="E10" s="36"/>
      <c r="F10" s="49">
        <v>15493026105</v>
      </c>
      <c r="G10" s="36"/>
      <c r="H10" s="122">
        <f t="shared" si="0"/>
        <v>1377405104</v>
      </c>
      <c r="I10" s="22"/>
      <c r="J10" s="157">
        <v>3527171</v>
      </c>
      <c r="K10" s="22"/>
      <c r="L10" s="157">
        <v>81102907586</v>
      </c>
      <c r="M10" s="157"/>
      <c r="N10" s="157">
        <v>67587983832</v>
      </c>
      <c r="O10" s="157"/>
      <c r="P10" s="159">
        <f t="shared" ref="P10:P20" si="1">L10-N10</f>
        <v>13514923754</v>
      </c>
      <c r="R10" s="36"/>
      <c r="S10" s="179"/>
      <c r="T10" s="179"/>
      <c r="U10" s="36"/>
    </row>
    <row r="11" spans="1:21" s="5" customFormat="1" ht="30" customHeight="1" x14ac:dyDescent="0.5">
      <c r="A11" s="46" t="s">
        <v>80</v>
      </c>
      <c r="B11" s="128">
        <v>1496995</v>
      </c>
      <c r="C11" s="36"/>
      <c r="D11" s="49">
        <f>22641545890-17207416</f>
        <v>22624338474</v>
      </c>
      <c r="E11" s="36"/>
      <c r="F11" s="49">
        <v>19188801700</v>
      </c>
      <c r="G11" s="36">
        <f>'درآمد سپرده بانکی'!D13</f>
        <v>0</v>
      </c>
      <c r="H11" s="122">
        <f t="shared" si="0"/>
        <v>3435536774</v>
      </c>
      <c r="I11" s="22"/>
      <c r="J11" s="157">
        <v>9973456</v>
      </c>
      <c r="K11" s="22"/>
      <c r="L11" s="157">
        <f>142020717080-107934812</f>
        <v>141912782268</v>
      </c>
      <c r="M11" s="157"/>
      <c r="N11" s="157">
        <v>114712191495</v>
      </c>
      <c r="O11" s="157"/>
      <c r="P11" s="159">
        <f t="shared" si="1"/>
        <v>27200590773</v>
      </c>
      <c r="R11" s="36"/>
      <c r="S11" s="179"/>
      <c r="T11" s="179"/>
      <c r="U11" s="36"/>
    </row>
    <row r="12" spans="1:21" s="5" customFormat="1" ht="30" customHeight="1" x14ac:dyDescent="0.5">
      <c r="A12" s="46" t="s">
        <v>95</v>
      </c>
      <c r="B12" s="197">
        <v>1663283</v>
      </c>
      <c r="C12" s="199"/>
      <c r="D12" s="198">
        <f>49580395850-37680746</f>
        <v>49542715104</v>
      </c>
      <c r="E12" s="199"/>
      <c r="F12" s="198">
        <v>49404719281</v>
      </c>
      <c r="G12" s="199"/>
      <c r="H12" s="122">
        <f t="shared" si="0"/>
        <v>137995823</v>
      </c>
      <c r="I12" s="22"/>
      <c r="J12" s="157">
        <v>8022406</v>
      </c>
      <c r="K12" s="22"/>
      <c r="L12" s="157">
        <v>226657346994</v>
      </c>
      <c r="M12" s="157"/>
      <c r="N12" s="157">
        <v>217167518831</v>
      </c>
      <c r="O12" s="157"/>
      <c r="P12" s="158">
        <f>L12-N12</f>
        <v>9489828163</v>
      </c>
      <c r="R12" s="36"/>
      <c r="S12" s="179"/>
      <c r="T12" s="179"/>
      <c r="U12" s="36"/>
    </row>
    <row r="13" spans="1:21" s="5" customFormat="1" ht="30" customHeight="1" x14ac:dyDescent="0.5">
      <c r="A13" s="46" t="s">
        <v>100</v>
      </c>
      <c r="B13" s="197">
        <v>149645</v>
      </c>
      <c r="C13" s="199"/>
      <c r="D13" s="198">
        <f>8282363965-1552918</f>
        <v>8280811047</v>
      </c>
      <c r="E13" s="199"/>
      <c r="F13" s="198">
        <v>8112138545</v>
      </c>
      <c r="G13" s="199"/>
      <c r="H13" s="122">
        <f t="shared" si="0"/>
        <v>168672502</v>
      </c>
      <c r="I13" s="22"/>
      <c r="J13" s="157">
        <v>458000</v>
      </c>
      <c r="K13" s="22"/>
      <c r="L13" s="157">
        <v>25139572351</v>
      </c>
      <c r="M13" s="157"/>
      <c r="N13" s="157">
        <v>24493414844</v>
      </c>
      <c r="O13" s="157"/>
      <c r="P13" s="159">
        <f t="shared" si="1"/>
        <v>646157507</v>
      </c>
      <c r="S13" s="98"/>
      <c r="T13" s="179"/>
      <c r="U13" s="36"/>
    </row>
    <row r="14" spans="1:21" s="5" customFormat="1" ht="30" customHeight="1" x14ac:dyDescent="0.5">
      <c r="A14" s="46" t="s">
        <v>101</v>
      </c>
      <c r="B14" s="197">
        <v>854800</v>
      </c>
      <c r="C14" s="199"/>
      <c r="D14" s="198">
        <f>12381009800-2321424</f>
        <v>12378688376</v>
      </c>
      <c r="E14" s="199"/>
      <c r="F14" s="198">
        <v>11932200422</v>
      </c>
      <c r="G14" s="199"/>
      <c r="H14" s="122">
        <f t="shared" si="0"/>
        <v>446487954</v>
      </c>
      <c r="I14" s="22"/>
      <c r="J14" s="157">
        <v>22345500</v>
      </c>
      <c r="K14" s="22"/>
      <c r="L14" s="157">
        <v>314470270990</v>
      </c>
      <c r="M14" s="157"/>
      <c r="N14" s="157">
        <v>310666302401</v>
      </c>
      <c r="O14" s="157"/>
      <c r="P14" s="159">
        <f t="shared" si="1"/>
        <v>3803968589</v>
      </c>
      <c r="S14" s="98"/>
      <c r="T14" s="179"/>
      <c r="U14" s="36"/>
    </row>
    <row r="15" spans="1:21" s="5" customFormat="1" ht="30" customHeight="1" x14ac:dyDescent="0.5">
      <c r="A15" s="46" t="s">
        <v>104</v>
      </c>
      <c r="B15" s="197">
        <v>764560</v>
      </c>
      <c r="C15" s="199"/>
      <c r="D15" s="198">
        <f>9079539040-1702333</f>
        <v>9077836707</v>
      </c>
      <c r="E15" s="199"/>
      <c r="F15" s="198">
        <v>8790539466</v>
      </c>
      <c r="G15" s="199"/>
      <c r="H15" s="122">
        <f t="shared" si="0"/>
        <v>287297241</v>
      </c>
      <c r="I15" s="22"/>
      <c r="J15" s="157">
        <v>5302560</v>
      </c>
      <c r="K15" s="22"/>
      <c r="L15" s="157">
        <v>62054278865</v>
      </c>
      <c r="M15" s="157"/>
      <c r="N15" s="157">
        <v>60424504108</v>
      </c>
      <c r="O15" s="157"/>
      <c r="P15" s="159">
        <f t="shared" si="1"/>
        <v>1629774757</v>
      </c>
      <c r="S15" s="98"/>
      <c r="T15" s="179"/>
      <c r="U15" s="36"/>
    </row>
    <row r="16" spans="1:21" s="5" customFormat="1" ht="30" customHeight="1" x14ac:dyDescent="0.5">
      <c r="A16" s="42" t="s">
        <v>86</v>
      </c>
      <c r="B16" s="197">
        <v>1279100</v>
      </c>
      <c r="C16" s="199"/>
      <c r="D16" s="198">
        <f>18364634200-3443343</f>
        <v>18361190857</v>
      </c>
      <c r="E16" s="199"/>
      <c r="F16" s="198">
        <v>17991532872</v>
      </c>
      <c r="G16" s="199"/>
      <c r="H16" s="217">
        <f t="shared" si="0"/>
        <v>369657985</v>
      </c>
      <c r="I16" s="22"/>
      <c r="J16" s="157">
        <v>5517000</v>
      </c>
      <c r="K16" s="22"/>
      <c r="L16" s="157">
        <v>78202651170</v>
      </c>
      <c r="M16" s="157"/>
      <c r="N16" s="157">
        <v>76258691628</v>
      </c>
      <c r="O16" s="157"/>
      <c r="P16" s="159">
        <f t="shared" si="1"/>
        <v>1943959542</v>
      </c>
      <c r="S16" s="98"/>
      <c r="T16" s="179"/>
      <c r="U16" s="36"/>
    </row>
    <row r="17" spans="1:21" s="5" customFormat="1" ht="30" customHeight="1" x14ac:dyDescent="0.5">
      <c r="A17" s="42" t="s">
        <v>138</v>
      </c>
      <c r="B17" s="197">
        <v>3034300</v>
      </c>
      <c r="C17" s="199"/>
      <c r="D17" s="198">
        <f>62745763500-11764534</f>
        <v>62733998966</v>
      </c>
      <c r="E17" s="199"/>
      <c r="F17" s="198">
        <v>62314129288</v>
      </c>
      <c r="G17" s="199"/>
      <c r="H17" s="122">
        <f t="shared" si="0"/>
        <v>419869678</v>
      </c>
      <c r="I17" s="22"/>
      <c r="J17" s="157">
        <v>11293300</v>
      </c>
      <c r="K17" s="22"/>
      <c r="L17" s="157">
        <v>231073889967</v>
      </c>
      <c r="M17" s="157"/>
      <c r="N17" s="157">
        <v>227227265657</v>
      </c>
      <c r="O17" s="157"/>
      <c r="P17" s="159">
        <f t="shared" si="1"/>
        <v>3846624310</v>
      </c>
      <c r="S17" s="98"/>
      <c r="T17" s="179"/>
      <c r="U17" s="36"/>
    </row>
    <row r="18" spans="1:21" s="5" customFormat="1" ht="30" customHeight="1" x14ac:dyDescent="0.5">
      <c r="A18" s="42" t="s">
        <v>139</v>
      </c>
      <c r="B18" s="197">
        <v>0</v>
      </c>
      <c r="C18" s="199"/>
      <c r="D18" s="198">
        <v>0</v>
      </c>
      <c r="E18" s="199"/>
      <c r="F18" s="198">
        <v>0</v>
      </c>
      <c r="G18" s="199"/>
      <c r="H18" s="217">
        <f t="shared" si="0"/>
        <v>0</v>
      </c>
      <c r="I18" s="22"/>
      <c r="J18" s="157">
        <v>2400</v>
      </c>
      <c r="K18" s="22"/>
      <c r="L18" s="157">
        <v>1792771299</v>
      </c>
      <c r="M18" s="157"/>
      <c r="N18" s="157">
        <v>1747516131</v>
      </c>
      <c r="O18" s="157"/>
      <c r="P18" s="159">
        <f>L18-N18</f>
        <v>45255168</v>
      </c>
      <c r="S18" s="98"/>
      <c r="T18" s="179"/>
      <c r="U18" s="36"/>
    </row>
    <row r="19" spans="1:21" s="5" customFormat="1" ht="30" customHeight="1" x14ac:dyDescent="0.5">
      <c r="A19" s="42" t="s">
        <v>142</v>
      </c>
      <c r="B19" s="197">
        <v>33300</v>
      </c>
      <c r="C19" s="199"/>
      <c r="D19" s="198">
        <f>23210835000-16827853</f>
        <v>23194007147</v>
      </c>
      <c r="E19" s="199"/>
      <c r="F19" s="198">
        <v>22179133833</v>
      </c>
      <c r="G19" s="199"/>
      <c r="H19" s="217">
        <f t="shared" si="0"/>
        <v>1014873314</v>
      </c>
      <c r="I19" s="22"/>
      <c r="J19" s="157">
        <v>43700</v>
      </c>
      <c r="K19" s="22"/>
      <c r="L19" s="157">
        <v>30260879947</v>
      </c>
      <c r="M19" s="157"/>
      <c r="N19" s="157">
        <v>28972444409</v>
      </c>
      <c r="O19" s="157"/>
      <c r="P19" s="159">
        <f t="shared" si="1"/>
        <v>1288435538</v>
      </c>
      <c r="S19" s="98"/>
      <c r="T19" s="179"/>
      <c r="U19" s="36"/>
    </row>
    <row r="20" spans="1:21" s="5" customFormat="1" ht="30" customHeight="1" x14ac:dyDescent="0.5">
      <c r="A20" s="42" t="s">
        <v>145</v>
      </c>
      <c r="B20" s="147">
        <v>0</v>
      </c>
      <c r="C20" s="199"/>
      <c r="D20" s="149">
        <v>0</v>
      </c>
      <c r="E20" s="199"/>
      <c r="F20" s="149">
        <v>0</v>
      </c>
      <c r="G20" s="199"/>
      <c r="H20" s="148">
        <f>D20-F20</f>
        <v>0</v>
      </c>
      <c r="I20" s="22"/>
      <c r="J20" s="157">
        <v>4700</v>
      </c>
      <c r="K20" s="22"/>
      <c r="L20" s="157">
        <v>3313492977</v>
      </c>
      <c r="M20" s="157"/>
      <c r="N20" s="157">
        <v>3198308091</v>
      </c>
      <c r="O20" s="157"/>
      <c r="P20" s="159">
        <f t="shared" si="1"/>
        <v>115184886</v>
      </c>
      <c r="S20" s="98"/>
      <c r="T20" s="179"/>
      <c r="U20" s="36"/>
    </row>
    <row r="21" spans="1:21" s="5" customFormat="1" ht="30" customHeight="1" x14ac:dyDescent="0.55000000000000004">
      <c r="A21" s="268" t="s">
        <v>141</v>
      </c>
      <c r="B21" s="197">
        <v>68200</v>
      </c>
      <c r="C21" s="199"/>
      <c r="D21" s="198">
        <f>49496182000-35884720</f>
        <v>49460297280</v>
      </c>
      <c r="E21" s="199"/>
      <c r="F21" s="198">
        <v>47416287878</v>
      </c>
      <c r="G21" s="199"/>
      <c r="H21" s="217">
        <f>D21-F21</f>
        <v>2044009402</v>
      </c>
      <c r="I21" s="22"/>
      <c r="J21" s="157">
        <v>68200</v>
      </c>
      <c r="K21" s="22"/>
      <c r="L21" s="157">
        <v>49460297280</v>
      </c>
      <c r="M21" s="157"/>
      <c r="N21" s="157">
        <v>47416287878</v>
      </c>
      <c r="O21" s="157"/>
      <c r="P21" s="159">
        <f>L21-N21</f>
        <v>2044009402</v>
      </c>
      <c r="S21" s="98"/>
      <c r="T21" s="179"/>
      <c r="U21" s="36"/>
    </row>
    <row r="22" spans="1:21" s="5" customFormat="1" ht="30" customHeight="1" x14ac:dyDescent="0.55000000000000004">
      <c r="A22" s="268" t="s">
        <v>144</v>
      </c>
      <c r="B22" s="197">
        <v>10000</v>
      </c>
      <c r="C22" s="199"/>
      <c r="D22" s="198">
        <f>6269080000-4545081</f>
        <v>6264534919</v>
      </c>
      <c r="E22" s="199"/>
      <c r="F22" s="198">
        <v>6073515946</v>
      </c>
      <c r="G22" s="199"/>
      <c r="H22" s="217">
        <f t="shared" ref="H22:H23" si="2">D22-F22</f>
        <v>191018973</v>
      </c>
      <c r="I22" s="22"/>
      <c r="J22" s="157">
        <v>10000</v>
      </c>
      <c r="K22" s="22"/>
      <c r="L22" s="157">
        <v>6264534919</v>
      </c>
      <c r="M22" s="157"/>
      <c r="N22" s="157">
        <v>6073515946</v>
      </c>
      <c r="O22" s="157"/>
      <c r="P22" s="159">
        <f t="shared" ref="P22:P23" si="3">L22-N22</f>
        <v>191018973</v>
      </c>
      <c r="S22" s="98"/>
      <c r="T22" s="179"/>
      <c r="U22" s="36"/>
    </row>
    <row r="23" spans="1:21" s="5" customFormat="1" ht="30" customHeight="1" x14ac:dyDescent="0.55000000000000004">
      <c r="A23" s="268" t="s">
        <v>136</v>
      </c>
      <c r="B23" s="197">
        <v>1200</v>
      </c>
      <c r="C23" s="199"/>
      <c r="D23" s="198">
        <f>907812000-658163</f>
        <v>907153837</v>
      </c>
      <c r="E23" s="199"/>
      <c r="F23" s="198">
        <v>847297863</v>
      </c>
      <c r="G23" s="199"/>
      <c r="H23" s="217">
        <f t="shared" si="2"/>
        <v>59855974</v>
      </c>
      <c r="I23" s="22"/>
      <c r="J23" s="157">
        <v>1200</v>
      </c>
      <c r="K23" s="22"/>
      <c r="L23" s="157">
        <v>907153837</v>
      </c>
      <c r="M23" s="157"/>
      <c r="N23" s="157">
        <v>847297863</v>
      </c>
      <c r="O23" s="157"/>
      <c r="P23" s="159">
        <f t="shared" si="3"/>
        <v>59855974</v>
      </c>
      <c r="S23" s="98"/>
      <c r="T23" s="179"/>
      <c r="U23" s="36"/>
    </row>
    <row r="24" spans="1:21" s="5" customFormat="1" ht="30" customHeight="1" thickBot="1" x14ac:dyDescent="0.6">
      <c r="A24" s="42"/>
      <c r="B24" s="59">
        <f>SUM(B7:B23)</f>
        <v>18562870</v>
      </c>
      <c r="C24" s="60"/>
      <c r="D24" s="59">
        <f>SUM(D7:D23)</f>
        <v>468557791146</v>
      </c>
      <c r="E24" s="60"/>
      <c r="F24" s="61">
        <f>SUM(F7:F23)</f>
        <v>445738514185</v>
      </c>
      <c r="G24" s="60"/>
      <c r="H24" s="62">
        <f>SUM(H7:H21)</f>
        <v>22568402014</v>
      </c>
      <c r="I24" s="20"/>
      <c r="J24" s="193">
        <f>SUM(J7:J23)</f>
        <v>110674572</v>
      </c>
      <c r="K24" s="20"/>
      <c r="L24" s="191">
        <f>SUM(L7:L23)</f>
        <v>2267453603615</v>
      </c>
      <c r="M24" s="20"/>
      <c r="N24" s="192">
        <f>SUM(M7:N23)</f>
        <v>2025837575917</v>
      </c>
      <c r="O24" s="20"/>
      <c r="P24" s="192">
        <f>SUM(P7:P23)</f>
        <v>241616027698</v>
      </c>
      <c r="S24" s="98"/>
      <c r="T24" s="179"/>
      <c r="U24" s="36"/>
    </row>
    <row r="25" spans="1:21" ht="30" customHeight="1" thickTop="1" x14ac:dyDescent="0.5">
      <c r="A25" s="42"/>
      <c r="I25" s="5"/>
      <c r="J25" s="5"/>
      <c r="K25" s="5"/>
      <c r="L25" s="36"/>
      <c r="M25" s="5"/>
      <c r="N25" s="5"/>
      <c r="O25" s="5"/>
      <c r="P25" s="5"/>
      <c r="Q25" s="233"/>
      <c r="S25" s="100"/>
    </row>
    <row r="26" spans="1:21" ht="19.5" x14ac:dyDescent="0.55000000000000004">
      <c r="A26" s="259"/>
      <c r="B26" s="259"/>
      <c r="C26" s="259"/>
      <c r="D26" s="259"/>
      <c r="E26" s="259"/>
      <c r="F26" s="259"/>
      <c r="G26" s="259"/>
      <c r="H26" s="259"/>
      <c r="J26" s="71"/>
      <c r="L26" s="203"/>
      <c r="N26" s="203"/>
      <c r="P26" s="71"/>
      <c r="S26" s="100"/>
    </row>
    <row r="27" spans="1:21" x14ac:dyDescent="0.25">
      <c r="H27" s="71"/>
      <c r="J27" s="71"/>
      <c r="L27" s="71"/>
      <c r="N27" s="71"/>
      <c r="P27" s="233"/>
    </row>
    <row r="28" spans="1:21" x14ac:dyDescent="0.25">
      <c r="H28" s="71"/>
      <c r="J28" s="71"/>
      <c r="L28" s="269"/>
      <c r="N28" s="71"/>
    </row>
    <row r="29" spans="1:21" x14ac:dyDescent="0.25">
      <c r="A29" s="71"/>
      <c r="H29" s="71"/>
      <c r="J29" s="71"/>
      <c r="L29" s="269"/>
      <c r="N29" s="71"/>
    </row>
    <row r="31" spans="1:21" ht="19.5" x14ac:dyDescent="0.55000000000000004">
      <c r="A31" s="322" t="s">
        <v>76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4"/>
    </row>
  </sheetData>
  <customSheetViews>
    <customSheetView guid="{9B1DBD13-10C2-4EFD-B3C9-81858DAEB6DD}" showPageBreaks="1" printArea="1">
      <selection activeCell="P11" sqref="P11"/>
      <pageMargins left="0.7" right="0.7" top="0.75" bottom="0.75" header="0.3" footer="0.3"/>
      <pageSetup scale="75" orientation="landscape" r:id="rId1"/>
    </customSheetView>
    <customSheetView guid="{0FB03AA2-1E4C-49B5-A51E-AA30FB031C6E}">
      <selection activeCell="P11" sqref="P11"/>
      <pageMargins left="0.7" right="0.7" top="0.75" bottom="0.75" header="0.3" footer="0.3"/>
      <pageSetup scale="75" orientation="landscape" r:id="rId2"/>
    </customSheetView>
  </customSheetViews>
  <mergeCells count="8">
    <mergeCell ref="A31:P31"/>
    <mergeCell ref="A1:P1"/>
    <mergeCell ref="A2:P2"/>
    <mergeCell ref="A3:P3"/>
    <mergeCell ref="B5:H5"/>
    <mergeCell ref="J5:P5"/>
    <mergeCell ref="A4:H4"/>
    <mergeCell ref="I4:P4"/>
  </mergeCells>
  <pageMargins left="0.7" right="0.7" top="0.75" bottom="0.75" header="0.3" footer="0.3"/>
  <pageSetup scale="6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0</vt:lpstr>
      <vt:lpstr> سهام</vt:lpstr>
      <vt:lpstr>اوراق بهادار</vt:lpstr>
      <vt:lpstr>سپرده</vt:lpstr>
      <vt:lpstr>درآمدها</vt:lpstr>
      <vt:lpstr>درآمد سرمایه گذاری در سهام </vt:lpstr>
      <vt:lpstr>سرمایه گذاری در اوراق بهادار</vt:lpstr>
      <vt:lpstr>درآمد ناشی از تغییر قیمت اوراق </vt:lpstr>
      <vt:lpstr>درآمد ناشی ازفروش</vt:lpstr>
      <vt:lpstr>درآمد سپرده بانکی</vt:lpstr>
      <vt:lpstr>سود اوراق بهادار و سپرده بانکی</vt:lpstr>
      <vt:lpstr>سایر درآمدها</vt:lpstr>
      <vt:lpstr>' سهام'!Print_Area</vt:lpstr>
      <vt:lpstr>'درآمد سپرده بانکی'!Print_Area</vt:lpstr>
      <vt:lpstr>'درآمد سرمایه گذاری در سهام '!Print_Area</vt:lpstr>
      <vt:lpstr>'درآمد ناشی از تغییر قیمت اوراق '!Print_Area</vt:lpstr>
      <vt:lpstr>'درآمد ناشی ازفروش'!Print_Area</vt:lpstr>
      <vt:lpstr>درآمدها!Print_Area</vt:lpstr>
      <vt:lpstr>سپرده!Print_Area</vt:lpstr>
      <vt:lpstr>'سود اوراق بهادار و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ArmanTadbir</cp:lastModifiedBy>
  <cp:lastPrinted>2023-05-27T13:00:45Z</cp:lastPrinted>
  <dcterms:created xsi:type="dcterms:W3CDTF">2017-11-22T14:26:20Z</dcterms:created>
  <dcterms:modified xsi:type="dcterms:W3CDTF">2023-06-27T13:36:40Z</dcterms:modified>
  <cp:contentStatus/>
</cp:coreProperties>
</file>